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4035" tabRatio="857" activeTab="15"/>
  </bookViews>
  <sheets>
    <sheet name="NL1" sheetId="1" r:id="rId1"/>
    <sheet name="NL2" sheetId="7" r:id="rId2"/>
    <sheet name="NL3" sheetId="8" r:id="rId3"/>
    <sheet name="NL4" sheetId="9" r:id="rId4"/>
    <sheet name="NL5" sheetId="10" r:id="rId5"/>
    <sheet name="NL6" sheetId="11" r:id="rId6"/>
    <sheet name="NL7" sheetId="12" r:id="rId7"/>
    <sheet name="NL10" sheetId="13" r:id="rId8"/>
    <sheet name="NL12" sheetId="14" r:id="rId9"/>
    <sheet name="NL13" sheetId="15" r:id="rId10"/>
    <sheet name="NL14" sheetId="16" r:id="rId11"/>
    <sheet name="NL15" sheetId="17" r:id="rId12"/>
    <sheet name="NL17" sheetId="18" r:id="rId13"/>
    <sheet name="NL23" sheetId="2" r:id="rId14"/>
    <sheet name="NL25" sheetId="3" r:id="rId15"/>
    <sheet name="NL30" sheetId="4" r:id="rId16"/>
    <sheet name="NL33" sheetId="5" r:id="rId17"/>
    <sheet name="NL40" sheetId="6" r:id="rId18"/>
  </sheets>
  <calcPr calcId="152511"/>
</workbook>
</file>

<file path=xl/calcChain.xml><?xml version="1.0" encoding="utf-8"?>
<calcChain xmlns="http://schemas.openxmlformats.org/spreadsheetml/2006/main">
  <c r="EU15" i="2" l="1"/>
  <c r="EQ15" i="2"/>
  <c r="AE10" i="15"/>
  <c r="CP23" i="14"/>
  <c r="AH11" i="13"/>
  <c r="AE7" i="13"/>
  <c r="AE7" i="8"/>
  <c r="AF7" i="8"/>
  <c r="AF14" i="1"/>
  <c r="AF12" i="1"/>
  <c r="AF6" i="1"/>
  <c r="AE13" i="1"/>
  <c r="AE11" i="1"/>
  <c r="AE10" i="1"/>
  <c r="AE9" i="1"/>
  <c r="AE8" i="1"/>
  <c r="AE7" i="1"/>
  <c r="AE5" i="1"/>
  <c r="AE4" i="1"/>
  <c r="T11" i="16" l="1"/>
  <c r="AG13" i="18" l="1"/>
  <c r="Q13" i="18"/>
  <c r="H13" i="18"/>
  <c r="AG23" i="7" l="1"/>
  <c r="AG7" i="8"/>
  <c r="AG28" i="9"/>
  <c r="AG27" i="9"/>
  <c r="AG26" i="9"/>
  <c r="AG25" i="9"/>
  <c r="AG23" i="9"/>
  <c r="AG19" i="9"/>
  <c r="AG18" i="9"/>
  <c r="AG17" i="9"/>
  <c r="AG16" i="9"/>
  <c r="AG14" i="9"/>
  <c r="AG31" i="10"/>
  <c r="AG30" i="10"/>
  <c r="AG28" i="10"/>
  <c r="AG27" i="10"/>
  <c r="AG26" i="10"/>
  <c r="AG25" i="10"/>
  <c r="AG21" i="10"/>
  <c r="AG18" i="10"/>
  <c r="AG17" i="10"/>
  <c r="AG16" i="10"/>
  <c r="AG22" i="11"/>
  <c r="AG21" i="11"/>
  <c r="AG19" i="11"/>
  <c r="AG15" i="11"/>
  <c r="AG14" i="11"/>
  <c r="CR35" i="14"/>
  <c r="CQ35" i="14"/>
  <c r="Q22" i="11"/>
  <c r="Q21" i="11"/>
  <c r="Q19" i="11"/>
  <c r="Q31" i="10"/>
  <c r="Q30" i="10"/>
  <c r="Q28" i="10"/>
  <c r="Q27" i="10"/>
  <c r="Q26" i="10"/>
  <c r="Q25" i="10"/>
  <c r="Q28" i="9"/>
  <c r="Q27" i="9"/>
  <c r="Q26" i="9"/>
  <c r="Q25" i="9"/>
  <c r="Q23" i="9"/>
  <c r="Q7" i="8"/>
  <c r="Q13" i="1"/>
  <c r="Q11" i="1"/>
  <c r="Q10" i="1"/>
  <c r="Q9" i="1"/>
  <c r="Q8" i="1"/>
  <c r="Q7" i="1"/>
  <c r="Q5" i="1"/>
  <c r="Q4" i="1"/>
  <c r="J7" i="8"/>
  <c r="AA31" i="14"/>
  <c r="U14" i="14"/>
  <c r="U19" i="14"/>
  <c r="U17" i="14"/>
  <c r="T14" i="14"/>
  <c r="T19" i="14"/>
  <c r="T17" i="14"/>
  <c r="H7" i="8"/>
  <c r="H13" i="1"/>
  <c r="H11" i="1"/>
  <c r="H10" i="1"/>
  <c r="H9" i="1"/>
  <c r="H8" i="1"/>
  <c r="H7" i="1"/>
  <c r="H5" i="1"/>
  <c r="H4" i="1"/>
  <c r="D20" i="7"/>
  <c r="F11" i="18" l="1"/>
  <c r="I7" i="17"/>
  <c r="L13" i="18"/>
  <c r="M13" i="18"/>
  <c r="AA10" i="6" l="1"/>
  <c r="Z10" i="6"/>
  <c r="N13" i="18"/>
  <c r="AO10" i="6"/>
  <c r="AN10" i="6"/>
  <c r="G13" i="18"/>
  <c r="G6" i="13"/>
  <c r="Y13" i="18"/>
  <c r="Y11" i="16"/>
  <c r="Z13" i="18"/>
  <c r="K13" i="18"/>
  <c r="O13" i="18"/>
  <c r="V13" i="18" l="1"/>
  <c r="V11" i="16"/>
  <c r="V6" i="13" l="1"/>
  <c r="X13" i="18"/>
  <c r="X11" i="18"/>
  <c r="AD7" i="13"/>
  <c r="BQ35" i="14" l="1"/>
  <c r="BQ19" i="14"/>
  <c r="BP35" i="14"/>
  <c r="BP19" i="14"/>
  <c r="CJ11" i="3"/>
  <c r="AH27" i="9"/>
  <c r="AH18" i="9"/>
  <c r="X7" i="8"/>
  <c r="R7" i="8"/>
  <c r="X23" i="7"/>
  <c r="AD23" i="7"/>
  <c r="X13" i="1"/>
  <c r="X11" i="1"/>
  <c r="X10" i="1"/>
  <c r="X9" i="1"/>
  <c r="X8" i="1"/>
  <c r="X7" i="1"/>
  <c r="X5" i="1"/>
  <c r="X4" i="1"/>
  <c r="AD13" i="1"/>
  <c r="AD11" i="1"/>
  <c r="AD10" i="1"/>
  <c r="AD9" i="1"/>
  <c r="AD8" i="1"/>
  <c r="AD7" i="1"/>
  <c r="AD5" i="1"/>
  <c r="AD4" i="1"/>
  <c r="AP35" i="14"/>
  <c r="AO35" i="14"/>
  <c r="O7" i="8"/>
  <c r="O23" i="7"/>
  <c r="O13" i="1"/>
  <c r="O11" i="1"/>
  <c r="O10" i="1"/>
  <c r="O9" i="1"/>
  <c r="O8" i="1"/>
  <c r="O7" i="1"/>
  <c r="O5" i="1"/>
  <c r="O4" i="1"/>
  <c r="AY15" i="2"/>
  <c r="AX15" i="2"/>
  <c r="AW15" i="2"/>
  <c r="AU15" i="2"/>
  <c r="AV15" i="2"/>
  <c r="AC35" i="14"/>
  <c r="AC19" i="14"/>
  <c r="AD35" i="14"/>
  <c r="AD19" i="14"/>
  <c r="K7" i="8"/>
  <c r="K23" i="7"/>
  <c r="K9" i="7"/>
  <c r="F34" i="14"/>
  <c r="F18" i="14"/>
  <c r="AB7" i="8" l="1"/>
  <c r="BV14" i="14"/>
  <c r="Z7" i="8"/>
  <c r="Z23" i="7"/>
  <c r="BS20" i="14"/>
  <c r="Y7" i="8"/>
  <c r="Y13" i="1"/>
  <c r="Y11" i="1"/>
  <c r="Y10" i="1"/>
  <c r="Y9" i="1"/>
  <c r="Y8" i="1"/>
  <c r="Y7" i="1"/>
  <c r="Y5" i="1"/>
  <c r="Y4" i="1"/>
  <c r="O35" i="14" l="1"/>
  <c r="N35" i="14"/>
  <c r="F7" i="8"/>
  <c r="G7" i="8"/>
  <c r="V7" i="8" l="1"/>
  <c r="V14" i="7"/>
  <c r="AC23" i="7"/>
  <c r="CF19" i="14"/>
  <c r="CE19" i="14"/>
  <c r="EI15" i="2"/>
  <c r="EK15" i="2"/>
  <c r="EJ15" i="2"/>
  <c r="EH15" i="2"/>
  <c r="EL15" i="2"/>
  <c r="EG15" i="2"/>
  <c r="W21" i="11"/>
  <c r="W22" i="11"/>
  <c r="W19" i="11"/>
  <c r="W30" i="10"/>
  <c r="W28" i="10"/>
  <c r="W27" i="10"/>
  <c r="W26" i="10"/>
  <c r="W25" i="10"/>
  <c r="W31" i="10"/>
  <c r="W28" i="9"/>
  <c r="W27" i="9"/>
  <c r="W26" i="9"/>
  <c r="W25" i="9"/>
  <c r="W23" i="9"/>
  <c r="P7" i="8"/>
  <c r="N7" i="8"/>
  <c r="N23" i="7"/>
  <c r="M22" i="11" l="1"/>
  <c r="M21" i="11"/>
  <c r="M19" i="11"/>
  <c r="M15" i="11"/>
  <c r="M14" i="11"/>
  <c r="M12" i="11"/>
  <c r="M31" i="10"/>
  <c r="M30" i="10"/>
  <c r="M28" i="10"/>
  <c r="M27" i="10"/>
  <c r="M26" i="10"/>
  <c r="M25" i="10"/>
  <c r="M21" i="10"/>
  <c r="M20" i="10"/>
  <c r="M18" i="10"/>
  <c r="M17" i="10"/>
  <c r="M16" i="10"/>
  <c r="M15" i="10"/>
  <c r="M90" i="9"/>
  <c r="M63" i="9"/>
  <c r="M45" i="9"/>
  <c r="M54" i="9"/>
  <c r="M72" i="9"/>
  <c r="M36" i="9"/>
  <c r="M28" i="9"/>
  <c r="M27" i="9"/>
  <c r="M26" i="9"/>
  <c r="M25" i="9"/>
  <c r="M23" i="9"/>
  <c r="M19" i="9"/>
  <c r="M18" i="9"/>
  <c r="M17" i="9"/>
  <c r="M16" i="9"/>
  <c r="M14" i="9"/>
  <c r="M9" i="9"/>
  <c r="M7" i="8"/>
  <c r="I78" i="9" l="1"/>
  <c r="AG81" i="9"/>
  <c r="AF81" i="9"/>
  <c r="AE81" i="9"/>
  <c r="AD81" i="9"/>
  <c r="AC81" i="9"/>
  <c r="AB81" i="9"/>
  <c r="AA81" i="9"/>
  <c r="Z81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I81" i="9"/>
  <c r="H81" i="9"/>
  <c r="G81" i="9"/>
  <c r="F81" i="9"/>
  <c r="E81" i="9"/>
  <c r="D81" i="9"/>
  <c r="C81" i="9"/>
  <c r="B81" i="9"/>
  <c r="J81" i="9"/>
  <c r="AH81" i="9" l="1"/>
  <c r="I7" i="8"/>
  <c r="I23" i="7"/>
  <c r="L31" i="14"/>
  <c r="E7" i="8" l="1"/>
  <c r="AG14" i="8" l="1"/>
  <c r="AE14" i="8"/>
  <c r="X14" i="8"/>
  <c r="W14" i="8"/>
  <c r="M14" i="8"/>
  <c r="J14" i="8"/>
  <c r="I14" i="8"/>
  <c r="U15" i="16" l="1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V15" i="16"/>
  <c r="W15" i="16"/>
  <c r="X15" i="16"/>
  <c r="Y15" i="16"/>
  <c r="Z15" i="16"/>
  <c r="AA15" i="16"/>
  <c r="AB15" i="16"/>
  <c r="AC15" i="16"/>
  <c r="AD15" i="16"/>
  <c r="AE15" i="16"/>
  <c r="AF15" i="16"/>
  <c r="AG15" i="16"/>
  <c r="BO13" i="6"/>
  <c r="BN13" i="6"/>
  <c r="BO10" i="6"/>
  <c r="BN10" i="6"/>
  <c r="BO9" i="6"/>
  <c r="BN9" i="6"/>
  <c r="BO8" i="6"/>
  <c r="BN8" i="6"/>
  <c r="BO7" i="6"/>
  <c r="BN7" i="6"/>
  <c r="BO6" i="6"/>
  <c r="BN6" i="6"/>
  <c r="BO5" i="6"/>
  <c r="BN5" i="6"/>
  <c r="FE15" i="2" l="1"/>
  <c r="FD15" i="2"/>
  <c r="FC15" i="2"/>
  <c r="FB15" i="2"/>
  <c r="FA15" i="2"/>
  <c r="DL15" i="2" l="1"/>
  <c r="CB36" i="14" l="1"/>
  <c r="CA34" i="14"/>
  <c r="CA29" i="14"/>
  <c r="CA28" i="14"/>
  <c r="CA23" i="14"/>
  <c r="CA22" i="14"/>
  <c r="CA19" i="14"/>
  <c r="CA18" i="14"/>
  <c r="CA10" i="14"/>
  <c r="CA13" i="14"/>
  <c r="CA7" i="14"/>
  <c r="CA6" i="14"/>
  <c r="EY15" i="2" l="1"/>
  <c r="EX15" i="2"/>
  <c r="EW15" i="2"/>
  <c r="EV15" i="2"/>
  <c r="AB14" i="8" l="1"/>
  <c r="L14" i="8"/>
  <c r="F14" i="8"/>
  <c r="L24" i="16" l="1"/>
  <c r="BD15" i="2" l="1"/>
  <c r="BC15" i="2"/>
  <c r="BB15" i="2"/>
  <c r="BA15" i="2"/>
  <c r="AZ15" i="2"/>
  <c r="V9" i="13" l="1"/>
  <c r="AH7" i="11" l="1"/>
  <c r="AH6" i="11"/>
  <c r="AH13" i="11"/>
  <c r="AH20" i="11"/>
  <c r="AH28" i="11"/>
  <c r="AH27" i="11"/>
  <c r="AH35" i="11"/>
  <c r="AH34" i="11"/>
  <c r="AH42" i="11"/>
  <c r="AH41" i="11"/>
  <c r="AH49" i="11"/>
  <c r="AH48" i="11"/>
  <c r="AH56" i="11"/>
  <c r="AH55" i="11"/>
  <c r="AH70" i="11"/>
  <c r="AH69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R63" i="11"/>
  <c r="Q63" i="11"/>
  <c r="P63" i="11"/>
  <c r="N63" i="11"/>
  <c r="L63" i="11"/>
  <c r="K63" i="11"/>
  <c r="J63" i="11"/>
  <c r="I63" i="11"/>
  <c r="H63" i="11"/>
  <c r="G63" i="11"/>
  <c r="F63" i="11"/>
  <c r="E63" i="11"/>
  <c r="D63" i="11"/>
  <c r="C63" i="11"/>
  <c r="B63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B62" i="11"/>
  <c r="AH10" i="10"/>
  <c r="AH9" i="10"/>
  <c r="AH8" i="10"/>
  <c r="AH7" i="10"/>
  <c r="AH6" i="10"/>
  <c r="AH20" i="10"/>
  <c r="AH18" i="10"/>
  <c r="AH17" i="10"/>
  <c r="AH16" i="10"/>
  <c r="AH26" i="10"/>
  <c r="AH40" i="10"/>
  <c r="AH39" i="10"/>
  <c r="AH38" i="10"/>
  <c r="AH37" i="10"/>
  <c r="AH36" i="10"/>
  <c r="AH50" i="10"/>
  <c r="AH49" i="10"/>
  <c r="AH48" i="10"/>
  <c r="AH47" i="10"/>
  <c r="AH46" i="10"/>
  <c r="AH60" i="10"/>
  <c r="AH59" i="10"/>
  <c r="AH58" i="10"/>
  <c r="AH57" i="10"/>
  <c r="AH56" i="10"/>
  <c r="AH70" i="10"/>
  <c r="AH69" i="10"/>
  <c r="AH68" i="10"/>
  <c r="AH67" i="10"/>
  <c r="AH66" i="10"/>
  <c r="AH80" i="10"/>
  <c r="AH79" i="10"/>
  <c r="AH78" i="10"/>
  <c r="AH77" i="10"/>
  <c r="AH76" i="10"/>
  <c r="AH100" i="10"/>
  <c r="AH99" i="10"/>
  <c r="AH98" i="10"/>
  <c r="AH97" i="10"/>
  <c r="AH96" i="10"/>
  <c r="AG90" i="10"/>
  <c r="AF90" i="10"/>
  <c r="AE90" i="10"/>
  <c r="AD90" i="10"/>
  <c r="AC90" i="10"/>
  <c r="AB90" i="10"/>
  <c r="AA90" i="10"/>
  <c r="Z90" i="10"/>
  <c r="X90" i="10"/>
  <c r="W90" i="10"/>
  <c r="V90" i="10"/>
  <c r="U90" i="10"/>
  <c r="T90" i="10"/>
  <c r="R90" i="10"/>
  <c r="Q90" i="10"/>
  <c r="P90" i="10"/>
  <c r="N90" i="10"/>
  <c r="L90" i="10"/>
  <c r="K90" i="10"/>
  <c r="J90" i="10"/>
  <c r="I90" i="10"/>
  <c r="H90" i="10"/>
  <c r="G90" i="10"/>
  <c r="F90" i="10"/>
  <c r="E90" i="10"/>
  <c r="D90" i="10"/>
  <c r="C90" i="10"/>
  <c r="B90" i="10"/>
  <c r="AG89" i="10"/>
  <c r="AF89" i="10"/>
  <c r="AE89" i="10"/>
  <c r="AD89" i="10"/>
  <c r="AC89" i="10"/>
  <c r="AB89" i="10"/>
  <c r="AA89" i="10"/>
  <c r="Z89" i="10"/>
  <c r="X89" i="10"/>
  <c r="W89" i="10"/>
  <c r="V89" i="10"/>
  <c r="U89" i="10"/>
  <c r="T89" i="10"/>
  <c r="R89" i="10"/>
  <c r="Q89" i="10"/>
  <c r="P89" i="10"/>
  <c r="N89" i="10"/>
  <c r="L89" i="10"/>
  <c r="K89" i="10"/>
  <c r="J89" i="10"/>
  <c r="I89" i="10"/>
  <c r="H89" i="10"/>
  <c r="G89" i="10"/>
  <c r="F89" i="10"/>
  <c r="E89" i="10"/>
  <c r="D89" i="10"/>
  <c r="C89" i="10"/>
  <c r="B89" i="10"/>
  <c r="AG88" i="10"/>
  <c r="AF88" i="10"/>
  <c r="AE88" i="10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R88" i="10"/>
  <c r="Q88" i="10"/>
  <c r="P88" i="10"/>
  <c r="O88" i="10"/>
  <c r="N88" i="10"/>
  <c r="L88" i="10"/>
  <c r="K88" i="10"/>
  <c r="J88" i="10"/>
  <c r="I88" i="10"/>
  <c r="H88" i="10"/>
  <c r="G88" i="10"/>
  <c r="F88" i="10"/>
  <c r="E88" i="10"/>
  <c r="D88" i="10"/>
  <c r="C88" i="10"/>
  <c r="B88" i="10"/>
  <c r="AG87" i="10"/>
  <c r="AF87" i="10"/>
  <c r="AE87" i="10"/>
  <c r="AD87" i="10"/>
  <c r="AC87" i="10"/>
  <c r="AB87" i="10"/>
  <c r="AA87" i="10"/>
  <c r="Z87" i="10"/>
  <c r="Y87" i="10"/>
  <c r="X87" i="10"/>
  <c r="W87" i="10"/>
  <c r="V87" i="10"/>
  <c r="U87" i="10"/>
  <c r="T87" i="10"/>
  <c r="R87" i="10"/>
  <c r="Q87" i="10"/>
  <c r="P87" i="10"/>
  <c r="O87" i="10"/>
  <c r="N87" i="10"/>
  <c r="L87" i="10"/>
  <c r="K87" i="10"/>
  <c r="J87" i="10"/>
  <c r="I87" i="10"/>
  <c r="H87" i="10"/>
  <c r="G87" i="10"/>
  <c r="F87" i="10"/>
  <c r="E87" i="10"/>
  <c r="D87" i="10"/>
  <c r="C87" i="10"/>
  <c r="B87" i="10"/>
  <c r="AG86" i="10"/>
  <c r="AF86" i="10"/>
  <c r="AE86" i="10"/>
  <c r="AD86" i="10"/>
  <c r="AC86" i="10"/>
  <c r="AB86" i="10"/>
  <c r="AA86" i="10"/>
  <c r="Z86" i="10"/>
  <c r="Y86" i="10"/>
  <c r="X86" i="10"/>
  <c r="W86" i="10"/>
  <c r="V86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B86" i="10"/>
  <c r="AG79" i="9"/>
  <c r="AF79" i="9"/>
  <c r="AE79" i="9"/>
  <c r="AD79" i="9"/>
  <c r="AC79" i="9"/>
  <c r="AB79" i="9"/>
  <c r="AA79" i="9"/>
  <c r="Z79" i="9"/>
  <c r="X79" i="9"/>
  <c r="W79" i="9"/>
  <c r="V79" i="9"/>
  <c r="U79" i="9"/>
  <c r="T79" i="9"/>
  <c r="R79" i="9"/>
  <c r="Q79" i="9"/>
  <c r="P79" i="9"/>
  <c r="N79" i="9"/>
  <c r="L79" i="9"/>
  <c r="K79" i="9"/>
  <c r="J79" i="9"/>
  <c r="I79" i="9"/>
  <c r="H79" i="9"/>
  <c r="G79" i="9"/>
  <c r="F79" i="9"/>
  <c r="E79" i="9"/>
  <c r="D79" i="9"/>
  <c r="C79" i="9"/>
  <c r="AG78" i="9"/>
  <c r="AF78" i="9"/>
  <c r="AE78" i="9"/>
  <c r="AD78" i="9"/>
  <c r="AC78" i="9"/>
  <c r="AB78" i="9"/>
  <c r="AA78" i="9"/>
  <c r="Z78" i="9"/>
  <c r="Y78" i="9"/>
  <c r="X78" i="9"/>
  <c r="W78" i="9"/>
  <c r="V78" i="9"/>
  <c r="U78" i="9"/>
  <c r="T78" i="9"/>
  <c r="S78" i="9"/>
  <c r="R78" i="9"/>
  <c r="Q78" i="9"/>
  <c r="P78" i="9"/>
  <c r="O78" i="9"/>
  <c r="N78" i="9"/>
  <c r="M78" i="9"/>
  <c r="L78" i="9"/>
  <c r="K78" i="9"/>
  <c r="J78" i="9"/>
  <c r="H78" i="9"/>
  <c r="G78" i="9"/>
  <c r="F78" i="9"/>
  <c r="E78" i="9"/>
  <c r="D78" i="9"/>
  <c r="C78" i="9"/>
  <c r="B78" i="9"/>
  <c r="AH70" i="9"/>
  <c r="AH69" i="9"/>
  <c r="AH61" i="9"/>
  <c r="AH60" i="9"/>
  <c r="AH52" i="9"/>
  <c r="AH51" i="9"/>
  <c r="AH43" i="9"/>
  <c r="AH42" i="9"/>
  <c r="AH34" i="9"/>
  <c r="AH33" i="9"/>
  <c r="AH24" i="9"/>
  <c r="AH16" i="9"/>
  <c r="AH15" i="9"/>
  <c r="AH7" i="9"/>
  <c r="AH6" i="9"/>
  <c r="AH88" i="9"/>
  <c r="AH87" i="9"/>
  <c r="O63" i="11"/>
  <c r="AH14" i="11"/>
  <c r="O90" i="10"/>
  <c r="O89" i="10"/>
  <c r="AH19" i="10"/>
  <c r="O79" i="9"/>
  <c r="Y90" i="10"/>
  <c r="Y89" i="10"/>
  <c r="Y79" i="9"/>
  <c r="S63" i="11"/>
  <c r="S87" i="10"/>
  <c r="S90" i="10"/>
  <c r="S89" i="10"/>
  <c r="S79" i="9"/>
  <c r="AH62" i="11" l="1"/>
  <c r="AH86" i="10"/>
  <c r="AH78" i="9"/>
  <c r="M79" i="9"/>
  <c r="AH21" i="11" l="1"/>
  <c r="M63" i="11"/>
  <c r="AH63" i="11" s="1"/>
  <c r="AH29" i="10"/>
  <c r="M89" i="10"/>
  <c r="AH89" i="10" s="1"/>
  <c r="AH30" i="10"/>
  <c r="M90" i="10"/>
  <c r="AH90" i="10" s="1"/>
  <c r="M87" i="10"/>
  <c r="AH87" i="10" s="1"/>
  <c r="AH27" i="10"/>
  <c r="AH28" i="10"/>
  <c r="M88" i="10"/>
  <c r="AH88" i="10" s="1"/>
  <c r="B79" i="9"/>
  <c r="AH79" i="9" s="1"/>
  <c r="AH25" i="9"/>
  <c r="BI16" i="14"/>
  <c r="BI15" i="14"/>
  <c r="BI14" i="14"/>
  <c r="BI13" i="14"/>
  <c r="BI12" i="14"/>
  <c r="BI11" i="14"/>
  <c r="BI10" i="14"/>
  <c r="BI9" i="14"/>
  <c r="AH4" i="16" l="1"/>
  <c r="AH5" i="16"/>
  <c r="AH6" i="16"/>
  <c r="AH7" i="16"/>
  <c r="AH8" i="16"/>
  <c r="AH9" i="16"/>
  <c r="AH10" i="16"/>
  <c r="AH12" i="16"/>
  <c r="AH13" i="16"/>
  <c r="AH14" i="16"/>
  <c r="AH16" i="16"/>
  <c r="AH17" i="16"/>
  <c r="AH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X19" i="16"/>
  <c r="Y19" i="16"/>
  <c r="Z19" i="16"/>
  <c r="AA19" i="16"/>
  <c r="AB19" i="16"/>
  <c r="AC19" i="16"/>
  <c r="AD19" i="16"/>
  <c r="AE19" i="16"/>
  <c r="AF19" i="16"/>
  <c r="AG19" i="16"/>
  <c r="CR36" i="14"/>
  <c r="CQ36" i="14"/>
  <c r="CN36" i="14"/>
  <c r="CL36" i="14"/>
  <c r="CK36" i="14"/>
  <c r="CI36" i="14"/>
  <c r="CH36" i="14"/>
  <c r="CE36" i="14"/>
  <c r="CC36" i="14"/>
  <c r="BZ36" i="14"/>
  <c r="BY36" i="14"/>
  <c r="BV36" i="14"/>
  <c r="BT36" i="14"/>
  <c r="BS36" i="14"/>
  <c r="BQ36" i="14"/>
  <c r="BP36" i="14"/>
  <c r="BN36" i="14"/>
  <c r="BM36" i="14"/>
  <c r="BK36" i="14"/>
  <c r="BJ36" i="14"/>
  <c r="BH36" i="14"/>
  <c r="BG36" i="14"/>
  <c r="BE36" i="14"/>
  <c r="BD36" i="14"/>
  <c r="BB36" i="14"/>
  <c r="BA36" i="14"/>
  <c r="AY36" i="14"/>
  <c r="AX36" i="14"/>
  <c r="AS36" i="14"/>
  <c r="AR36" i="14"/>
  <c r="AP36" i="14"/>
  <c r="AO36" i="14"/>
  <c r="AM36" i="14"/>
  <c r="AL36" i="14"/>
  <c r="AJ36" i="14"/>
  <c r="AI36" i="14"/>
  <c r="AD36" i="14"/>
  <c r="AC36" i="14"/>
  <c r="Z36" i="14"/>
  <c r="X36" i="14"/>
  <c r="W36" i="14"/>
  <c r="U36" i="14"/>
  <c r="T36" i="14"/>
  <c r="O36" i="14"/>
  <c r="N36" i="14"/>
  <c r="L36" i="14"/>
  <c r="K36" i="14"/>
  <c r="I36" i="14"/>
  <c r="H36" i="14"/>
  <c r="E36" i="14"/>
  <c r="C36" i="14"/>
  <c r="B36" i="14"/>
  <c r="CM35" i="14"/>
  <c r="CJ35" i="14"/>
  <c r="CG35" i="14"/>
  <c r="CD35" i="14"/>
  <c r="BX35" i="14"/>
  <c r="BW36" i="14"/>
  <c r="BU35" i="14"/>
  <c r="BR35" i="14"/>
  <c r="BO35" i="14"/>
  <c r="BL35" i="14"/>
  <c r="BI35" i="14"/>
  <c r="BF35" i="14"/>
  <c r="BC35" i="14"/>
  <c r="AZ35" i="14"/>
  <c r="AW35" i="14"/>
  <c r="AT35" i="14"/>
  <c r="AQ35" i="14"/>
  <c r="AN35" i="14"/>
  <c r="AK35" i="14"/>
  <c r="AH35" i="14"/>
  <c r="AE35" i="14"/>
  <c r="AB35" i="14"/>
  <c r="Y35" i="14"/>
  <c r="V35" i="14"/>
  <c r="S35" i="14"/>
  <c r="Q36" i="14"/>
  <c r="P35" i="14"/>
  <c r="M35" i="14"/>
  <c r="G35" i="14"/>
  <c r="D35" i="14"/>
  <c r="CM34" i="14"/>
  <c r="CJ34" i="14"/>
  <c r="CG34" i="14"/>
  <c r="CD34" i="14"/>
  <c r="BX34" i="14"/>
  <c r="BU34" i="14"/>
  <c r="BO34" i="14"/>
  <c r="BL34" i="14"/>
  <c r="BI34" i="14"/>
  <c r="BF34" i="14"/>
  <c r="BC34" i="14"/>
  <c r="AZ34" i="14"/>
  <c r="AW34" i="14"/>
  <c r="AT34" i="14"/>
  <c r="AQ34" i="14"/>
  <c r="AN34" i="14"/>
  <c r="AK34" i="14"/>
  <c r="AH34" i="14"/>
  <c r="AE34" i="14"/>
  <c r="AB34" i="14"/>
  <c r="Y34" i="14"/>
  <c r="V34" i="14"/>
  <c r="S34" i="14"/>
  <c r="P34" i="14"/>
  <c r="M34" i="14"/>
  <c r="F36" i="14"/>
  <c r="D34" i="14"/>
  <c r="CS33" i="14"/>
  <c r="CP33" i="14"/>
  <c r="CM33" i="14"/>
  <c r="CJ33" i="14"/>
  <c r="CG33" i="14"/>
  <c r="CD33" i="14"/>
  <c r="CA33" i="14"/>
  <c r="BX33" i="14"/>
  <c r="BU33" i="14"/>
  <c r="BR33" i="14"/>
  <c r="BO33" i="14"/>
  <c r="BL33" i="14"/>
  <c r="BI33" i="14"/>
  <c r="BF33" i="14"/>
  <c r="BC33" i="14"/>
  <c r="AZ33" i="14"/>
  <c r="AW33" i="14"/>
  <c r="AT33" i="14"/>
  <c r="AQ33" i="14"/>
  <c r="AN33" i="14"/>
  <c r="AK33" i="14"/>
  <c r="AH33" i="14"/>
  <c r="AE33" i="14"/>
  <c r="AB33" i="14"/>
  <c r="Y33" i="14"/>
  <c r="V33" i="14"/>
  <c r="S33" i="14"/>
  <c r="P33" i="14"/>
  <c r="M33" i="14"/>
  <c r="J33" i="14"/>
  <c r="G33" i="14"/>
  <c r="D33" i="14"/>
  <c r="CS32" i="14"/>
  <c r="CP32" i="14"/>
  <c r="CM32" i="14"/>
  <c r="CJ32" i="14"/>
  <c r="CG32" i="14"/>
  <c r="CD32" i="14"/>
  <c r="CA32" i="14"/>
  <c r="BX32" i="14"/>
  <c r="BU32" i="14"/>
  <c r="BR32" i="14"/>
  <c r="BO32" i="14"/>
  <c r="BL32" i="14"/>
  <c r="BI32" i="14"/>
  <c r="BF32" i="14"/>
  <c r="BC32" i="14"/>
  <c r="AZ32" i="14"/>
  <c r="AW32" i="14"/>
  <c r="AT32" i="14"/>
  <c r="AQ32" i="14"/>
  <c r="AN32" i="14"/>
  <c r="AK32" i="14"/>
  <c r="AH32" i="14"/>
  <c r="AE32" i="14"/>
  <c r="AA36" i="14"/>
  <c r="Y32" i="14"/>
  <c r="V32" i="14"/>
  <c r="S32" i="14"/>
  <c r="P32" i="14"/>
  <c r="M32" i="14"/>
  <c r="J32" i="14"/>
  <c r="G32" i="14"/>
  <c r="D32" i="14"/>
  <c r="CS31" i="14"/>
  <c r="CP31" i="14"/>
  <c r="CM31" i="14"/>
  <c r="CJ31" i="14"/>
  <c r="CG31" i="14"/>
  <c r="CD31" i="14"/>
  <c r="CA31" i="14"/>
  <c r="BX31" i="14"/>
  <c r="BU31" i="14"/>
  <c r="BR31" i="14"/>
  <c r="BO31" i="14"/>
  <c r="BL31" i="14"/>
  <c r="BI31" i="14"/>
  <c r="BF31" i="14"/>
  <c r="BC31" i="14"/>
  <c r="AZ31" i="14"/>
  <c r="AW31" i="14"/>
  <c r="AT31" i="14"/>
  <c r="AQ31" i="14"/>
  <c r="AN31" i="14"/>
  <c r="AK31" i="14"/>
  <c r="AH31" i="14"/>
  <c r="AE31" i="14"/>
  <c r="AB31" i="14"/>
  <c r="Y31" i="14"/>
  <c r="V31" i="14"/>
  <c r="S31" i="14"/>
  <c r="P31" i="14"/>
  <c r="M31" i="14"/>
  <c r="G31" i="14"/>
  <c r="D31" i="14"/>
  <c r="CS30" i="14"/>
  <c r="CP30" i="14"/>
  <c r="CM30" i="14"/>
  <c r="CJ30" i="14"/>
  <c r="CG30" i="14"/>
  <c r="CD30" i="14"/>
  <c r="CA30" i="14"/>
  <c r="BX30" i="14"/>
  <c r="BU30" i="14"/>
  <c r="BR30" i="14"/>
  <c r="BO30" i="14"/>
  <c r="BL30" i="14"/>
  <c r="BI30" i="14"/>
  <c r="BF30" i="14"/>
  <c r="BC30" i="14"/>
  <c r="AZ30" i="14"/>
  <c r="AV36" i="14"/>
  <c r="AU36" i="14"/>
  <c r="AT30" i="14"/>
  <c r="AQ30" i="14"/>
  <c r="AN30" i="14"/>
  <c r="AK30" i="14"/>
  <c r="AH30" i="14"/>
  <c r="AE30" i="14"/>
  <c r="AB30" i="14"/>
  <c r="Y30" i="14"/>
  <c r="V30" i="14"/>
  <c r="S30" i="14"/>
  <c r="P30" i="14"/>
  <c r="M30" i="14"/>
  <c r="J30" i="14"/>
  <c r="G30" i="14"/>
  <c r="D30" i="14"/>
  <c r="CM29" i="14"/>
  <c r="CJ29" i="14"/>
  <c r="CG29" i="14"/>
  <c r="CD29" i="14"/>
  <c r="BX29" i="14"/>
  <c r="BU29" i="14"/>
  <c r="BO29" i="14"/>
  <c r="BL29" i="14"/>
  <c r="BI29" i="14"/>
  <c r="BF29" i="14"/>
  <c r="BC29" i="14"/>
  <c r="AZ29" i="14"/>
  <c r="AW29" i="14"/>
  <c r="AT29" i="14"/>
  <c r="AQ29" i="14"/>
  <c r="AN29" i="14"/>
  <c r="AK29" i="14"/>
  <c r="AH29" i="14"/>
  <c r="AE29" i="14"/>
  <c r="AB29" i="14"/>
  <c r="Y29" i="14"/>
  <c r="V29" i="14"/>
  <c r="S29" i="14"/>
  <c r="P29" i="14"/>
  <c r="M29" i="14"/>
  <c r="G29" i="14"/>
  <c r="D29" i="14"/>
  <c r="CM28" i="14"/>
  <c r="CJ28" i="14"/>
  <c r="CG28" i="14"/>
  <c r="CD28" i="14"/>
  <c r="BX28" i="14"/>
  <c r="BU28" i="14"/>
  <c r="BO28" i="14"/>
  <c r="BL28" i="14"/>
  <c r="BI28" i="14"/>
  <c r="BF28" i="14"/>
  <c r="BC28" i="14"/>
  <c r="AZ28" i="14"/>
  <c r="AW28" i="14"/>
  <c r="AT28" i="14"/>
  <c r="AQ28" i="14"/>
  <c r="AN28" i="14"/>
  <c r="AK28" i="14"/>
  <c r="AH28" i="14"/>
  <c r="AE28" i="14"/>
  <c r="AB28" i="14"/>
  <c r="Y28" i="14"/>
  <c r="V28" i="14"/>
  <c r="S28" i="14"/>
  <c r="P28" i="14"/>
  <c r="M28" i="14"/>
  <c r="G28" i="14"/>
  <c r="D28" i="14"/>
  <c r="CS27" i="14"/>
  <c r="CP27" i="14"/>
  <c r="CM27" i="14"/>
  <c r="CJ27" i="14"/>
  <c r="CG27" i="14"/>
  <c r="CD27" i="14"/>
  <c r="CA27" i="14"/>
  <c r="BX27" i="14"/>
  <c r="BU27" i="14"/>
  <c r="BO27" i="14"/>
  <c r="BL27" i="14"/>
  <c r="BI27" i="14"/>
  <c r="BF27" i="14"/>
  <c r="BC27" i="14"/>
  <c r="AZ27" i="14"/>
  <c r="AW27" i="14"/>
  <c r="AT27" i="14"/>
  <c r="AQ27" i="14"/>
  <c r="AN27" i="14"/>
  <c r="AK27" i="14"/>
  <c r="AH27" i="14"/>
  <c r="AE27" i="14"/>
  <c r="AB27" i="14"/>
  <c r="Y27" i="14"/>
  <c r="V27" i="14"/>
  <c r="S27" i="14"/>
  <c r="P27" i="14"/>
  <c r="M27" i="14"/>
  <c r="J27" i="14"/>
  <c r="G27" i="14"/>
  <c r="D27" i="14"/>
  <c r="CS26" i="14"/>
  <c r="CP26" i="14"/>
  <c r="CM26" i="14"/>
  <c r="CJ26" i="14"/>
  <c r="CG26" i="14"/>
  <c r="CD26" i="14"/>
  <c r="CA26" i="14"/>
  <c r="BX26" i="14"/>
  <c r="BU26" i="14"/>
  <c r="BR26" i="14"/>
  <c r="BO26" i="14"/>
  <c r="BL26" i="14"/>
  <c r="BI26" i="14"/>
  <c r="BF26" i="14"/>
  <c r="BC26" i="14"/>
  <c r="AZ26" i="14"/>
  <c r="AW26" i="14"/>
  <c r="AT26" i="14"/>
  <c r="AQ26" i="14"/>
  <c r="AN26" i="14"/>
  <c r="AK26" i="14"/>
  <c r="AH26" i="14"/>
  <c r="AE26" i="14"/>
  <c r="AB26" i="14"/>
  <c r="Y26" i="14"/>
  <c r="V26" i="14"/>
  <c r="S26" i="14"/>
  <c r="P26" i="14"/>
  <c r="M26" i="14"/>
  <c r="J26" i="14"/>
  <c r="G26" i="14"/>
  <c r="D26" i="14"/>
  <c r="CS25" i="14"/>
  <c r="CP25" i="14"/>
  <c r="CM25" i="14"/>
  <c r="CJ25" i="14"/>
  <c r="CG25" i="14"/>
  <c r="CD25" i="14"/>
  <c r="CA25" i="14"/>
  <c r="BX25" i="14"/>
  <c r="BU25" i="14"/>
  <c r="BR25" i="14"/>
  <c r="BO25" i="14"/>
  <c r="BL25" i="14"/>
  <c r="BI25" i="14"/>
  <c r="BF25" i="14"/>
  <c r="BC25" i="14"/>
  <c r="AZ25" i="14"/>
  <c r="AW25" i="14"/>
  <c r="AT25" i="14"/>
  <c r="AQ25" i="14"/>
  <c r="AN25" i="14"/>
  <c r="AK25" i="14"/>
  <c r="AH25" i="14"/>
  <c r="AE25" i="14"/>
  <c r="AB25" i="14"/>
  <c r="Y25" i="14"/>
  <c r="V25" i="14"/>
  <c r="S25" i="14"/>
  <c r="P25" i="14"/>
  <c r="M25" i="14"/>
  <c r="J25" i="14"/>
  <c r="G25" i="14"/>
  <c r="D25" i="14"/>
  <c r="CS24" i="14"/>
  <c r="CP24" i="14"/>
  <c r="CM24" i="14"/>
  <c r="CJ24" i="14"/>
  <c r="CG24" i="14"/>
  <c r="CD24" i="14"/>
  <c r="CA24" i="14"/>
  <c r="CA36" i="14" s="1"/>
  <c r="BX24" i="14"/>
  <c r="BU24" i="14"/>
  <c r="BR24" i="14"/>
  <c r="BO24" i="14"/>
  <c r="BL24" i="14"/>
  <c r="BI24" i="14"/>
  <c r="BF24" i="14"/>
  <c r="BC24" i="14"/>
  <c r="AZ24" i="14"/>
  <c r="AW24" i="14"/>
  <c r="AT24" i="14"/>
  <c r="AQ24" i="14"/>
  <c r="AN24" i="14"/>
  <c r="AK24" i="14"/>
  <c r="AH24" i="14"/>
  <c r="AE24" i="14"/>
  <c r="AB24" i="14"/>
  <c r="Y24" i="14"/>
  <c r="V24" i="14"/>
  <c r="S24" i="14"/>
  <c r="P24" i="14"/>
  <c r="M24" i="14"/>
  <c r="J24" i="14"/>
  <c r="J36" i="14" s="1"/>
  <c r="G24" i="14"/>
  <c r="D24" i="14"/>
  <c r="CS23" i="14"/>
  <c r="CO36" i="14"/>
  <c r="CM23" i="14"/>
  <c r="CJ23" i="14"/>
  <c r="CG23" i="14"/>
  <c r="CD23" i="14"/>
  <c r="BX23" i="14"/>
  <c r="BU23" i="14"/>
  <c r="BR23" i="14"/>
  <c r="BO23" i="14"/>
  <c r="BL23" i="14"/>
  <c r="BI23" i="14"/>
  <c r="BF23" i="14"/>
  <c r="BC23" i="14"/>
  <c r="AZ23" i="14"/>
  <c r="AW23" i="14"/>
  <c r="AT23" i="14"/>
  <c r="AQ23" i="14"/>
  <c r="AN23" i="14"/>
  <c r="AK23" i="14"/>
  <c r="AH23" i="14"/>
  <c r="AE23" i="14"/>
  <c r="AB23" i="14"/>
  <c r="Y23" i="14"/>
  <c r="V23" i="14"/>
  <c r="S23" i="14"/>
  <c r="P23" i="14"/>
  <c r="M23" i="14"/>
  <c r="G23" i="14"/>
  <c r="D23" i="14"/>
  <c r="CM22" i="14"/>
  <c r="CJ22" i="14"/>
  <c r="CG22" i="14"/>
  <c r="CD22" i="14"/>
  <c r="BX22" i="14"/>
  <c r="BU22" i="14"/>
  <c r="BR36" i="14"/>
  <c r="BO22" i="14"/>
  <c r="BL22" i="14"/>
  <c r="BI22" i="14"/>
  <c r="BF22" i="14"/>
  <c r="BC22" i="14"/>
  <c r="AZ22" i="14"/>
  <c r="AW22" i="14"/>
  <c r="AT22" i="14"/>
  <c r="AQ22" i="14"/>
  <c r="AN22" i="14"/>
  <c r="AK22" i="14"/>
  <c r="AH22" i="14"/>
  <c r="AG36" i="14"/>
  <c r="AF36" i="14"/>
  <c r="AE22" i="14"/>
  <c r="AB22" i="14"/>
  <c r="Y22" i="14"/>
  <c r="V22" i="14"/>
  <c r="S22" i="14"/>
  <c r="P22" i="14"/>
  <c r="M22" i="14"/>
  <c r="G22" i="14"/>
  <c r="D22" i="14"/>
  <c r="CR20" i="14"/>
  <c r="CQ20" i="14"/>
  <c r="CO20" i="14"/>
  <c r="CL20" i="14"/>
  <c r="CK20" i="14"/>
  <c r="CI20" i="14"/>
  <c r="CH20" i="14"/>
  <c r="CC20" i="14"/>
  <c r="CB20" i="14"/>
  <c r="BZ20" i="14"/>
  <c r="BY20" i="14"/>
  <c r="BT20" i="14"/>
  <c r="BQ20" i="14"/>
  <c r="BP20" i="14"/>
  <c r="BN20" i="14"/>
  <c r="BM20" i="14"/>
  <c r="BK20" i="14"/>
  <c r="BJ20" i="14"/>
  <c r="BH20" i="14"/>
  <c r="BG20" i="14"/>
  <c r="BE20" i="14"/>
  <c r="BD20" i="14"/>
  <c r="BB20" i="14"/>
  <c r="BA20" i="14"/>
  <c r="AY20" i="14"/>
  <c r="AX20" i="14"/>
  <c r="AS20" i="14"/>
  <c r="AR20" i="14"/>
  <c r="AM20" i="14"/>
  <c r="AL20" i="14"/>
  <c r="AJ20" i="14"/>
  <c r="AI20" i="14"/>
  <c r="AD20" i="14"/>
  <c r="AC20" i="14"/>
  <c r="AA20" i="14"/>
  <c r="Z20" i="14"/>
  <c r="X20" i="14"/>
  <c r="W20" i="14"/>
  <c r="O20" i="14"/>
  <c r="N20" i="14"/>
  <c r="L20" i="14"/>
  <c r="K20" i="14"/>
  <c r="I20" i="14"/>
  <c r="I37" i="14" s="1"/>
  <c r="H20" i="14"/>
  <c r="E20" i="14"/>
  <c r="C20" i="14"/>
  <c r="B20" i="14"/>
  <c r="CM19" i="14"/>
  <c r="CJ19" i="14"/>
  <c r="CG19" i="14"/>
  <c r="CD19" i="14"/>
  <c r="BX19" i="14"/>
  <c r="BV20" i="14"/>
  <c r="BU19" i="14"/>
  <c r="BR19" i="14"/>
  <c r="BO19" i="14"/>
  <c r="BL19" i="14"/>
  <c r="BI19" i="14"/>
  <c r="BF19" i="14"/>
  <c r="BC19" i="14"/>
  <c r="AZ19" i="14"/>
  <c r="AW19" i="14"/>
  <c r="AT19" i="14"/>
  <c r="AP20" i="14"/>
  <c r="AO20" i="14"/>
  <c r="AN19" i="14"/>
  <c r="AK19" i="14"/>
  <c r="AH19" i="14"/>
  <c r="AE19" i="14"/>
  <c r="AB19" i="14"/>
  <c r="Y19" i="14"/>
  <c r="V19" i="14"/>
  <c r="T20" i="14"/>
  <c r="R20" i="14"/>
  <c r="Q20" i="14"/>
  <c r="P19" i="14"/>
  <c r="M19" i="14"/>
  <c r="G19" i="14"/>
  <c r="D19" i="14"/>
  <c r="CM18" i="14"/>
  <c r="CJ18" i="14"/>
  <c r="CG18" i="14"/>
  <c r="CE20" i="14"/>
  <c r="CD18" i="14"/>
  <c r="BX18" i="14"/>
  <c r="BU18" i="14"/>
  <c r="BO18" i="14"/>
  <c r="BL18" i="14"/>
  <c r="BI18" i="14"/>
  <c r="BF18" i="14"/>
  <c r="BC18" i="14"/>
  <c r="AZ18" i="14"/>
  <c r="AW18" i="14"/>
  <c r="AT18" i="14"/>
  <c r="AQ18" i="14"/>
  <c r="AN18" i="14"/>
  <c r="AK18" i="14"/>
  <c r="AH18" i="14"/>
  <c r="AE18" i="14"/>
  <c r="AB18" i="14"/>
  <c r="Y18" i="14"/>
  <c r="V18" i="14"/>
  <c r="S18" i="14"/>
  <c r="P18" i="14"/>
  <c r="M18" i="14"/>
  <c r="F20" i="14"/>
  <c r="D18" i="14"/>
  <c r="CS17" i="14"/>
  <c r="CP17" i="14"/>
  <c r="CM17" i="14"/>
  <c r="CJ17" i="14"/>
  <c r="CG17" i="14"/>
  <c r="CD17" i="14"/>
  <c r="CA17" i="14"/>
  <c r="BX17" i="14"/>
  <c r="BU17" i="14"/>
  <c r="BR17" i="14"/>
  <c r="BO17" i="14"/>
  <c r="BL17" i="14"/>
  <c r="BI17" i="14"/>
  <c r="BF17" i="14"/>
  <c r="BC17" i="14"/>
  <c r="AZ17" i="14"/>
  <c r="AW17" i="14"/>
  <c r="AT17" i="14"/>
  <c r="AQ17" i="14"/>
  <c r="AN17" i="14"/>
  <c r="AK17" i="14"/>
  <c r="AH17" i="14"/>
  <c r="AE17" i="14"/>
  <c r="AB17" i="14"/>
  <c r="Y17" i="14"/>
  <c r="V17" i="14"/>
  <c r="S17" i="14"/>
  <c r="P17" i="14"/>
  <c r="M17" i="14"/>
  <c r="J17" i="14"/>
  <c r="G17" i="14"/>
  <c r="D17" i="14"/>
  <c r="CS16" i="14"/>
  <c r="CP16" i="14"/>
  <c r="CM16" i="14"/>
  <c r="CJ16" i="14"/>
  <c r="CG16" i="14"/>
  <c r="CD16" i="14"/>
  <c r="CA16" i="14"/>
  <c r="BX16" i="14"/>
  <c r="BU16" i="14"/>
  <c r="BO16" i="14"/>
  <c r="BL16" i="14"/>
  <c r="BF16" i="14"/>
  <c r="BC16" i="14"/>
  <c r="AZ16" i="14"/>
  <c r="AW16" i="14"/>
  <c r="AT16" i="14"/>
  <c r="AQ16" i="14"/>
  <c r="AN16" i="14"/>
  <c r="AK16" i="14"/>
  <c r="AH16" i="14"/>
  <c r="AE16" i="14"/>
  <c r="AB16" i="14"/>
  <c r="Y16" i="14"/>
  <c r="V16" i="14"/>
  <c r="S16" i="14"/>
  <c r="P16" i="14"/>
  <c r="M16" i="14"/>
  <c r="J16" i="14"/>
  <c r="G16" i="14"/>
  <c r="D16" i="14"/>
  <c r="CS15" i="14"/>
  <c r="CP15" i="14"/>
  <c r="CM15" i="14"/>
  <c r="CJ15" i="14"/>
  <c r="CG15" i="14"/>
  <c r="CD15" i="14"/>
  <c r="CA15" i="14"/>
  <c r="BX15" i="14"/>
  <c r="BU15" i="14"/>
  <c r="BR15" i="14"/>
  <c r="BO15" i="14"/>
  <c r="BL15" i="14"/>
  <c r="BF15" i="14"/>
  <c r="BC15" i="14"/>
  <c r="AZ15" i="14"/>
  <c r="AV20" i="14"/>
  <c r="AU20" i="14"/>
  <c r="AT15" i="14"/>
  <c r="AQ15" i="14"/>
  <c r="AN15" i="14"/>
  <c r="AK15" i="14"/>
  <c r="AH15" i="14"/>
  <c r="AE15" i="14"/>
  <c r="AB15" i="14"/>
  <c r="Y15" i="14"/>
  <c r="V15" i="14"/>
  <c r="S15" i="14"/>
  <c r="P15" i="14"/>
  <c r="M15" i="14"/>
  <c r="J15" i="14"/>
  <c r="G15" i="14"/>
  <c r="D15" i="14"/>
  <c r="CS14" i="14"/>
  <c r="CP14" i="14"/>
  <c r="CM14" i="14"/>
  <c r="CJ14" i="14"/>
  <c r="CG14" i="14"/>
  <c r="CD14" i="14"/>
  <c r="CA14" i="14"/>
  <c r="BX14" i="14"/>
  <c r="BU14" i="14"/>
  <c r="BO14" i="14"/>
  <c r="BL14" i="14"/>
  <c r="BF14" i="14"/>
  <c r="BC14" i="14"/>
  <c r="AZ14" i="14"/>
  <c r="AW14" i="14"/>
  <c r="AT14" i="14"/>
  <c r="AQ14" i="14"/>
  <c r="AN14" i="14"/>
  <c r="AK14" i="14"/>
  <c r="AH14" i="14"/>
  <c r="AE14" i="14"/>
  <c r="AB14" i="14"/>
  <c r="Y14" i="14"/>
  <c r="V14" i="14"/>
  <c r="S14" i="14"/>
  <c r="P14" i="14"/>
  <c r="M14" i="14"/>
  <c r="J14" i="14"/>
  <c r="G14" i="14"/>
  <c r="D14" i="14"/>
  <c r="CM13" i="14"/>
  <c r="CJ13" i="14"/>
  <c r="CG13" i="14"/>
  <c r="CD13" i="14"/>
  <c r="BX13" i="14"/>
  <c r="BU13" i="14"/>
  <c r="BO13" i="14"/>
  <c r="BL13" i="14"/>
  <c r="BF13" i="14"/>
  <c r="BC13" i="14"/>
  <c r="AZ13" i="14"/>
  <c r="AW13" i="14"/>
  <c r="AT13" i="14"/>
  <c r="AQ13" i="14"/>
  <c r="AN13" i="14"/>
  <c r="AK13" i="14"/>
  <c r="AH13" i="14"/>
  <c r="AE13" i="14"/>
  <c r="AB13" i="14"/>
  <c r="Y13" i="14"/>
  <c r="V13" i="14"/>
  <c r="S13" i="14"/>
  <c r="P13" i="14"/>
  <c r="M13" i="14"/>
  <c r="G13" i="14"/>
  <c r="D13" i="14"/>
  <c r="CS12" i="14"/>
  <c r="CS20" i="14" s="1"/>
  <c r="CP12" i="14"/>
  <c r="CM12" i="14"/>
  <c r="CJ12" i="14"/>
  <c r="CG12" i="14"/>
  <c r="CD12" i="14"/>
  <c r="CA12" i="14"/>
  <c r="BX12" i="14"/>
  <c r="BU12" i="14"/>
  <c r="BO12" i="14"/>
  <c r="BL12" i="14"/>
  <c r="BF12" i="14"/>
  <c r="BC12" i="14"/>
  <c r="AZ12" i="14"/>
  <c r="AW12" i="14"/>
  <c r="AT12" i="14"/>
  <c r="AQ12" i="14"/>
  <c r="AN12" i="14"/>
  <c r="AK12" i="14"/>
  <c r="AH12" i="14"/>
  <c r="AE12" i="14"/>
  <c r="AB12" i="14"/>
  <c r="Y12" i="14"/>
  <c r="V12" i="14"/>
  <c r="S12" i="14"/>
  <c r="P12" i="14"/>
  <c r="M12" i="14"/>
  <c r="J12" i="14"/>
  <c r="G12" i="14"/>
  <c r="D12" i="14"/>
  <c r="CS11" i="14"/>
  <c r="CP11" i="14"/>
  <c r="CM11" i="14"/>
  <c r="CJ11" i="14"/>
  <c r="CG11" i="14"/>
  <c r="CD11" i="14"/>
  <c r="CA11" i="14"/>
  <c r="BX11" i="14"/>
  <c r="BU11" i="14"/>
  <c r="BO11" i="14"/>
  <c r="BL11" i="14"/>
  <c r="BF11" i="14"/>
  <c r="BC11" i="14"/>
  <c r="AZ11" i="14"/>
  <c r="AW11" i="14"/>
  <c r="AT11" i="14"/>
  <c r="AQ11" i="14"/>
  <c r="AN11" i="14"/>
  <c r="AK11" i="14"/>
  <c r="AH11" i="14"/>
  <c r="AE11" i="14"/>
  <c r="AB11" i="14"/>
  <c r="Y11" i="14"/>
  <c r="V11" i="14"/>
  <c r="S11" i="14"/>
  <c r="P11" i="14"/>
  <c r="M11" i="14"/>
  <c r="J11" i="14"/>
  <c r="G11" i="14"/>
  <c r="D11" i="14"/>
  <c r="CM10" i="14"/>
  <c r="CJ10" i="14"/>
  <c r="CG10" i="14"/>
  <c r="CD10" i="14"/>
  <c r="BX10" i="14"/>
  <c r="BU10" i="14"/>
  <c r="BO10" i="14"/>
  <c r="BL10" i="14"/>
  <c r="BF10" i="14"/>
  <c r="BC10" i="14"/>
  <c r="AZ10" i="14"/>
  <c r="AW10" i="14"/>
  <c r="AT10" i="14"/>
  <c r="AQ10" i="14"/>
  <c r="AN10" i="14"/>
  <c r="AK10" i="14"/>
  <c r="AH10" i="14"/>
  <c r="AE10" i="14"/>
  <c r="AB10" i="14"/>
  <c r="Y10" i="14"/>
  <c r="V10" i="14"/>
  <c r="S10" i="14"/>
  <c r="P10" i="14"/>
  <c r="M10" i="14"/>
  <c r="G10" i="14"/>
  <c r="D10" i="14"/>
  <c r="CS9" i="14"/>
  <c r="CP9" i="14"/>
  <c r="CM9" i="14"/>
  <c r="CJ9" i="14"/>
  <c r="CG9" i="14"/>
  <c r="CD9" i="14"/>
  <c r="CA9" i="14"/>
  <c r="BX9" i="14"/>
  <c r="BU9" i="14"/>
  <c r="BR9" i="14"/>
  <c r="BR20" i="14" s="1"/>
  <c r="BO9" i="14"/>
  <c r="BL9" i="14"/>
  <c r="BF9" i="14"/>
  <c r="BC9" i="14"/>
  <c r="AZ9" i="14"/>
  <c r="AW9" i="14"/>
  <c r="AT9" i="14"/>
  <c r="AQ9" i="14"/>
  <c r="AN9" i="14"/>
  <c r="AK9" i="14"/>
  <c r="AH9" i="14"/>
  <c r="AE9" i="14"/>
  <c r="AB9" i="14"/>
  <c r="Y9" i="14"/>
  <c r="V9" i="14"/>
  <c r="S9" i="14"/>
  <c r="P9" i="14"/>
  <c r="M9" i="14"/>
  <c r="J9" i="14"/>
  <c r="G9" i="14"/>
  <c r="D9" i="14"/>
  <c r="CS8" i="14"/>
  <c r="CP8" i="14"/>
  <c r="CM8" i="14"/>
  <c r="CJ8" i="14"/>
  <c r="CG8" i="14"/>
  <c r="CD8" i="14"/>
  <c r="CA8" i="14"/>
  <c r="BX8" i="14"/>
  <c r="BU8" i="14"/>
  <c r="BR8" i="14"/>
  <c r="BO8" i="14"/>
  <c r="BL8" i="14"/>
  <c r="BI8" i="14"/>
  <c r="BF8" i="14"/>
  <c r="BC8" i="14"/>
  <c r="AZ8" i="14"/>
  <c r="AW8" i="14"/>
  <c r="AT8" i="14"/>
  <c r="AQ8" i="14"/>
  <c r="AN8" i="14"/>
  <c r="AK8" i="14"/>
  <c r="AH8" i="14"/>
  <c r="AE8" i="14"/>
  <c r="AB8" i="14"/>
  <c r="Y8" i="14"/>
  <c r="V8" i="14"/>
  <c r="S8" i="14"/>
  <c r="P8" i="14"/>
  <c r="M8" i="14"/>
  <c r="J8" i="14"/>
  <c r="G8" i="14"/>
  <c r="D8" i="14"/>
  <c r="CS7" i="14"/>
  <c r="CP7" i="14"/>
  <c r="CM7" i="14"/>
  <c r="CJ7" i="14"/>
  <c r="CG7" i="14"/>
  <c r="CD7" i="14"/>
  <c r="BX7" i="14"/>
  <c r="BU7" i="14"/>
  <c r="BO7" i="14"/>
  <c r="BL7" i="14"/>
  <c r="BI7" i="14"/>
  <c r="BF7" i="14"/>
  <c r="BC7" i="14"/>
  <c r="AZ7" i="14"/>
  <c r="AW7" i="14"/>
  <c r="AT7" i="14"/>
  <c r="AQ7" i="14"/>
  <c r="AN7" i="14"/>
  <c r="AK7" i="14"/>
  <c r="AH7" i="14"/>
  <c r="AE7" i="14"/>
  <c r="AB7" i="14"/>
  <c r="Y7" i="14"/>
  <c r="V7" i="14"/>
  <c r="S7" i="14"/>
  <c r="P7" i="14"/>
  <c r="M7" i="14"/>
  <c r="G7" i="14"/>
  <c r="D7" i="14"/>
  <c r="CM6" i="14"/>
  <c r="CJ6" i="14"/>
  <c r="CG6" i="14"/>
  <c r="CD6" i="14"/>
  <c r="BX6" i="14"/>
  <c r="BU6" i="14"/>
  <c r="BO6" i="14"/>
  <c r="BL6" i="14"/>
  <c r="BI6" i="14"/>
  <c r="BF6" i="14"/>
  <c r="BC6" i="14"/>
  <c r="AZ6" i="14"/>
  <c r="AW6" i="14"/>
  <c r="AT6" i="14"/>
  <c r="AQ6" i="14"/>
  <c r="AN6" i="14"/>
  <c r="AK6" i="14"/>
  <c r="AG20" i="14"/>
  <c r="AF20" i="14"/>
  <c r="AE6" i="14"/>
  <c r="AB6" i="14"/>
  <c r="Y6" i="14"/>
  <c r="V6" i="14"/>
  <c r="S6" i="14"/>
  <c r="P6" i="14"/>
  <c r="M6" i="14"/>
  <c r="J20" i="14"/>
  <c r="G6" i="14"/>
  <c r="D6" i="14"/>
  <c r="CR37" i="14" l="1"/>
  <c r="CS36" i="14"/>
  <c r="CS37" i="14" s="1"/>
  <c r="AO37" i="14"/>
  <c r="CA20" i="14"/>
  <c r="CA37" i="14" s="1"/>
  <c r="H37" i="14"/>
  <c r="BP37" i="14"/>
  <c r="BQ37" i="14"/>
  <c r="V20" i="14"/>
  <c r="CQ37" i="14"/>
  <c r="BM37" i="14"/>
  <c r="AT36" i="14"/>
  <c r="Z37" i="14"/>
  <c r="E37" i="14"/>
  <c r="D36" i="14"/>
  <c r="D20" i="14"/>
  <c r="CP36" i="14"/>
  <c r="CG20" i="14"/>
  <c r="CC37" i="14"/>
  <c r="CB37" i="14"/>
  <c r="CD20" i="14"/>
  <c r="BZ37" i="14"/>
  <c r="BY37" i="14"/>
  <c r="AL37" i="14"/>
  <c r="O37" i="14"/>
  <c r="P20" i="14"/>
  <c r="M36" i="14"/>
  <c r="M20" i="14"/>
  <c r="AQ36" i="14"/>
  <c r="BC20" i="14"/>
  <c r="BE37" i="14"/>
  <c r="BF36" i="14"/>
  <c r="BF20" i="14"/>
  <c r="CI37" i="14"/>
  <c r="P36" i="14"/>
  <c r="S36" i="14"/>
  <c r="V36" i="14"/>
  <c r="AH36" i="14"/>
  <c r="AN36" i="14"/>
  <c r="BC36" i="14"/>
  <c r="BI36" i="14"/>
  <c r="BO36" i="14"/>
  <c r="BU36" i="14"/>
  <c r="BX36" i="14"/>
  <c r="CD36" i="14"/>
  <c r="CE37" i="14"/>
  <c r="CJ36" i="14"/>
  <c r="CK37" i="14"/>
  <c r="CM36" i="14"/>
  <c r="CP20" i="14"/>
  <c r="CO37" i="14"/>
  <c r="CL37" i="14"/>
  <c r="CM20" i="14"/>
  <c r="CH37" i="14"/>
  <c r="CJ20" i="14"/>
  <c r="BX20" i="14"/>
  <c r="BU20" i="14"/>
  <c r="BS37" i="14"/>
  <c r="BT37" i="14"/>
  <c r="BO20" i="14"/>
  <c r="BN37" i="14"/>
  <c r="BI20" i="14"/>
  <c r="BG37" i="14"/>
  <c r="BH37" i="14"/>
  <c r="BD37" i="14"/>
  <c r="BA37" i="14"/>
  <c r="BB37" i="14"/>
  <c r="AT20" i="14"/>
  <c r="AR37" i="14"/>
  <c r="AS37" i="14"/>
  <c r="AN20" i="14"/>
  <c r="AM37" i="14"/>
  <c r="AF37" i="14"/>
  <c r="AB20" i="14"/>
  <c r="AA37" i="14"/>
  <c r="T37" i="14"/>
  <c r="N37" i="14"/>
  <c r="K37" i="14"/>
  <c r="L37" i="14"/>
  <c r="B37" i="14"/>
  <c r="C37" i="14"/>
  <c r="AY37" i="14"/>
  <c r="AZ36" i="14"/>
  <c r="AZ20" i="14"/>
  <c r="AX37" i="14"/>
  <c r="J37" i="14"/>
  <c r="BK37" i="14"/>
  <c r="BL36" i="14"/>
  <c r="BL20" i="14"/>
  <c r="BJ37" i="14"/>
  <c r="X37" i="14"/>
  <c r="Y20" i="14"/>
  <c r="Y36" i="14"/>
  <c r="W37" i="14"/>
  <c r="AD37" i="14"/>
  <c r="AE36" i="14"/>
  <c r="AE20" i="14"/>
  <c r="AC37" i="14"/>
  <c r="AI37" i="14"/>
  <c r="AK36" i="14"/>
  <c r="AK20" i="14"/>
  <c r="AJ37" i="14"/>
  <c r="AH19" i="16"/>
  <c r="AH11" i="16"/>
  <c r="AH15" i="16"/>
  <c r="AV37" i="14"/>
  <c r="BR37" i="14"/>
  <c r="BV37" i="14"/>
  <c r="AG37" i="14"/>
  <c r="Q37" i="14"/>
  <c r="CG36" i="14"/>
  <c r="AU37" i="14"/>
  <c r="F37" i="14"/>
  <c r="AP37" i="14"/>
  <c r="AQ19" i="14"/>
  <c r="AQ20" i="14" s="1"/>
  <c r="BW20" i="14"/>
  <c r="BW37" i="14" s="1"/>
  <c r="AH6" i="14"/>
  <c r="AH20" i="14" s="1"/>
  <c r="CF20" i="14"/>
  <c r="CN20" i="14"/>
  <c r="CN37" i="14" s="1"/>
  <c r="AB32" i="14"/>
  <c r="AB36" i="14" s="1"/>
  <c r="U20" i="14"/>
  <c r="U37" i="14" s="1"/>
  <c r="R36" i="14"/>
  <c r="R37" i="14" s="1"/>
  <c r="G18" i="14"/>
  <c r="G20" i="14" s="1"/>
  <c r="AW15" i="14"/>
  <c r="AW20" i="14" s="1"/>
  <c r="S19" i="14"/>
  <c r="S20" i="14" s="1"/>
  <c r="AW30" i="14"/>
  <c r="AW36" i="14" s="1"/>
  <c r="CF36" i="14"/>
  <c r="G34" i="14"/>
  <c r="G36" i="14" s="1"/>
  <c r="BC37" i="14" l="1"/>
  <c r="V37" i="14"/>
  <c r="AT37" i="14"/>
  <c r="CJ37" i="14"/>
  <c r="BX37" i="14"/>
  <c r="BI37" i="14"/>
  <c r="AB37" i="14"/>
  <c r="S37" i="14"/>
  <c r="D37" i="14"/>
  <c r="CP37" i="14"/>
  <c r="CM37" i="14"/>
  <c r="CG37" i="14"/>
  <c r="CD37" i="14"/>
  <c r="BU37" i="14"/>
  <c r="AN37" i="14"/>
  <c r="AH37" i="14"/>
  <c r="P37" i="14"/>
  <c r="M37" i="14"/>
  <c r="AQ37" i="14"/>
  <c r="BF37" i="14"/>
  <c r="BO37" i="14"/>
  <c r="AW37" i="14"/>
  <c r="G37" i="14"/>
  <c r="AZ37" i="14"/>
  <c r="BL37" i="14"/>
  <c r="Y37" i="14"/>
  <c r="AE37" i="14"/>
  <c r="AK37" i="14"/>
  <c r="CF37" i="14"/>
  <c r="EF15" i="2" l="1"/>
  <c r="EE15" i="2"/>
  <c r="ED15" i="2"/>
  <c r="EC15" i="2"/>
  <c r="EB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EZ15" i="2"/>
  <c r="ET15" i="2"/>
  <c r="ES15" i="2"/>
  <c r="ER15" i="2"/>
  <c r="EP15" i="2"/>
  <c r="EO15" i="2"/>
  <c r="EN15" i="2"/>
  <c r="EM15" i="2"/>
  <c r="EA15" i="2"/>
  <c r="DZ15" i="2"/>
  <c r="DY15" i="2"/>
  <c r="DX15" i="2"/>
  <c r="DW15" i="2"/>
  <c r="DV15" i="2"/>
  <c r="DU15" i="2"/>
  <c r="DT15" i="2"/>
  <c r="DS15" i="2"/>
  <c r="DR15" i="2"/>
  <c r="DQ15" i="2"/>
  <c r="DP15" i="2"/>
  <c r="DO15" i="2"/>
  <c r="DN15" i="2"/>
  <c r="DM15" i="2"/>
  <c r="DK15" i="2"/>
  <c r="DJ15" i="2"/>
  <c r="DI15" i="2"/>
  <c r="DH15" i="2"/>
  <c r="DG15" i="2"/>
  <c r="DF15" i="2"/>
  <c r="DE15" i="2"/>
  <c r="DD15" i="2"/>
  <c r="DC15" i="2"/>
  <c r="DB15" i="2"/>
  <c r="DA15" i="2"/>
  <c r="CZ15" i="2"/>
  <c r="CY15" i="2"/>
  <c r="CX15" i="2"/>
  <c r="CW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AO15" i="2"/>
  <c r="AN15" i="2"/>
  <c r="AM15" i="2"/>
  <c r="AL15" i="2"/>
  <c r="AK15" i="2"/>
  <c r="AJ15" i="2"/>
  <c r="AI15" i="2"/>
  <c r="AH15" i="2"/>
  <c r="AG15" i="2"/>
  <c r="AF15" i="2"/>
  <c r="AD15" i="2"/>
  <c r="AC15" i="2"/>
  <c r="AB15" i="2"/>
  <c r="AA15" i="2"/>
  <c r="Y15" i="2"/>
  <c r="X15" i="2"/>
  <c r="W15" i="2"/>
  <c r="V15" i="2"/>
  <c r="BH11" i="6" l="1"/>
  <c r="AH23" i="7" l="1"/>
  <c r="AH19" i="7"/>
  <c r="AH18" i="7"/>
  <c r="AH17" i="7"/>
  <c r="AH13" i="7"/>
  <c r="AH12" i="7"/>
  <c r="AH11" i="7"/>
  <c r="AH10" i="7"/>
  <c r="AH9" i="7"/>
  <c r="AH7" i="7"/>
  <c r="AH6" i="7"/>
  <c r="AH5" i="7"/>
  <c r="AG22" i="7"/>
  <c r="AG24" i="7" s="1"/>
  <c r="AF22" i="7"/>
  <c r="AF24" i="7" s="1"/>
  <c r="AE22" i="7"/>
  <c r="AE24" i="7" s="1"/>
  <c r="AD22" i="7"/>
  <c r="AD24" i="7" s="1"/>
  <c r="AC22" i="7"/>
  <c r="AC24" i="7" s="1"/>
  <c r="AB22" i="7"/>
  <c r="AB24" i="7" s="1"/>
  <c r="Z22" i="7"/>
  <c r="Z24" i="7" s="1"/>
  <c r="Y22" i="7"/>
  <c r="Y24" i="7" s="1"/>
  <c r="X22" i="7"/>
  <c r="X24" i="7" s="1"/>
  <c r="W22" i="7"/>
  <c r="W24" i="7" s="1"/>
  <c r="T22" i="7"/>
  <c r="T24" i="7" s="1"/>
  <c r="S22" i="7"/>
  <c r="S24" i="7" s="1"/>
  <c r="R22" i="7"/>
  <c r="R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E22" i="7"/>
  <c r="E24" i="7" s="1"/>
  <c r="D22" i="7"/>
  <c r="D24" i="7" s="1"/>
  <c r="C22" i="7"/>
  <c r="C24" i="7" s="1"/>
  <c r="AG20" i="7"/>
  <c r="AF20" i="7"/>
  <c r="AE20" i="7"/>
  <c r="AD20" i="7"/>
  <c r="AC20" i="7"/>
  <c r="AB20" i="7"/>
  <c r="AA20" i="7"/>
  <c r="Z20" i="7"/>
  <c r="Y20" i="7"/>
  <c r="X20" i="7"/>
  <c r="W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C20" i="7"/>
  <c r="AG14" i="7"/>
  <c r="AF14" i="7"/>
  <c r="AE14" i="7"/>
  <c r="AD14" i="7"/>
  <c r="AC14" i="7"/>
  <c r="AB14" i="7"/>
  <c r="Z14" i="7"/>
  <c r="Y14" i="7"/>
  <c r="X14" i="7"/>
  <c r="W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22" i="7"/>
  <c r="B24" i="7" s="1"/>
  <c r="B20" i="7"/>
  <c r="B14" i="7"/>
  <c r="AH28" i="8"/>
  <c r="AH27" i="8"/>
  <c r="AH26" i="8"/>
  <c r="AH23" i="8"/>
  <c r="AH22" i="8"/>
  <c r="AH20" i="8"/>
  <c r="AH19" i="8"/>
  <c r="AH18" i="8"/>
  <c r="AH17" i="8"/>
  <c r="AH16" i="8"/>
  <c r="AH15" i="8"/>
  <c r="AH13" i="8"/>
  <c r="AH12" i="8"/>
  <c r="AH8" i="8"/>
  <c r="AH7" i="8"/>
  <c r="AH6" i="8"/>
  <c r="AH5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S25" i="8" s="1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C14" i="8"/>
  <c r="AA14" i="8"/>
  <c r="Z14" i="8"/>
  <c r="Y14" i="8"/>
  <c r="V14" i="8"/>
  <c r="U14" i="8"/>
  <c r="T14" i="8"/>
  <c r="S14" i="8"/>
  <c r="R14" i="8"/>
  <c r="Q14" i="8"/>
  <c r="P14" i="8"/>
  <c r="O14" i="8"/>
  <c r="N14" i="8"/>
  <c r="H14" i="8"/>
  <c r="G14" i="8"/>
  <c r="E14" i="8"/>
  <c r="C14" i="8"/>
  <c r="AG9" i="8"/>
  <c r="AF9" i="8"/>
  <c r="AE9" i="8"/>
  <c r="AD9" i="8"/>
  <c r="AC9" i="8"/>
  <c r="AB9" i="8"/>
  <c r="AA9" i="8"/>
  <c r="Z9" i="8"/>
  <c r="Y9" i="8"/>
  <c r="X9" i="8"/>
  <c r="W9" i="8"/>
  <c r="V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24" i="8"/>
  <c r="B21" i="8"/>
  <c r="B14" i="8"/>
  <c r="B9" i="8"/>
  <c r="AG82" i="9"/>
  <c r="AF82" i="9"/>
  <c r="AE82" i="9"/>
  <c r="AD82" i="9"/>
  <c r="AC82" i="9"/>
  <c r="AB82" i="9"/>
  <c r="AA82" i="9"/>
  <c r="Z82" i="9"/>
  <c r="Y82" i="9"/>
  <c r="X82" i="9"/>
  <c r="W82" i="9"/>
  <c r="V82" i="9"/>
  <c r="U82" i="9"/>
  <c r="T82" i="9"/>
  <c r="S82" i="9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C82" i="9"/>
  <c r="AG80" i="9"/>
  <c r="AF80" i="9"/>
  <c r="AE80" i="9"/>
  <c r="AD80" i="9"/>
  <c r="AC80" i="9"/>
  <c r="AB80" i="9"/>
  <c r="AA80" i="9"/>
  <c r="Z80" i="9"/>
  <c r="Y80" i="9"/>
  <c r="X80" i="9"/>
  <c r="W80" i="9"/>
  <c r="V80" i="9"/>
  <c r="U80" i="9"/>
  <c r="T80" i="9"/>
  <c r="S80" i="9"/>
  <c r="R80" i="9"/>
  <c r="Q80" i="9"/>
  <c r="P80" i="9"/>
  <c r="O80" i="9"/>
  <c r="N80" i="9"/>
  <c r="M80" i="9"/>
  <c r="L80" i="9"/>
  <c r="K80" i="9"/>
  <c r="J80" i="9"/>
  <c r="I80" i="9"/>
  <c r="H80" i="9"/>
  <c r="G80" i="9"/>
  <c r="F80" i="9"/>
  <c r="E80" i="9"/>
  <c r="D80" i="9"/>
  <c r="C80" i="9"/>
  <c r="AG77" i="9"/>
  <c r="AF77" i="9"/>
  <c r="AE77" i="9"/>
  <c r="AD77" i="9"/>
  <c r="AC77" i="9"/>
  <c r="AB77" i="9"/>
  <c r="AA77" i="9"/>
  <c r="Z77" i="9"/>
  <c r="Y77" i="9"/>
  <c r="X77" i="9"/>
  <c r="W77" i="9"/>
  <c r="V77" i="9"/>
  <c r="U77" i="9"/>
  <c r="T77" i="9"/>
  <c r="S77" i="9"/>
  <c r="R77" i="9"/>
  <c r="Q77" i="9"/>
  <c r="P77" i="9"/>
  <c r="O77" i="9"/>
  <c r="N77" i="9"/>
  <c r="M77" i="9"/>
  <c r="L77" i="9"/>
  <c r="K77" i="9"/>
  <c r="J77" i="9"/>
  <c r="I77" i="9"/>
  <c r="H77" i="9"/>
  <c r="G77" i="9"/>
  <c r="F77" i="9"/>
  <c r="E77" i="9"/>
  <c r="D77" i="9"/>
  <c r="C77" i="9"/>
  <c r="B82" i="9"/>
  <c r="B80" i="9"/>
  <c r="B77" i="9"/>
  <c r="AH91" i="9"/>
  <c r="AH89" i="9"/>
  <c r="AH86" i="9"/>
  <c r="AH73" i="9"/>
  <c r="AH71" i="9"/>
  <c r="AH68" i="9"/>
  <c r="AH64" i="9"/>
  <c r="AH62" i="9"/>
  <c r="AH59" i="9"/>
  <c r="AH55" i="9"/>
  <c r="AH53" i="9"/>
  <c r="AH50" i="9"/>
  <c r="AH46" i="9"/>
  <c r="AH44" i="9"/>
  <c r="AH41" i="9"/>
  <c r="AH37" i="9"/>
  <c r="AH35" i="9"/>
  <c r="AH32" i="9"/>
  <c r="AH28" i="9"/>
  <c r="AH26" i="9"/>
  <c r="AH23" i="9"/>
  <c r="AH19" i="9"/>
  <c r="AH17" i="9"/>
  <c r="AH14" i="9"/>
  <c r="AH10" i="9"/>
  <c r="AH8" i="9"/>
  <c r="AH5" i="9"/>
  <c r="AG91" i="10"/>
  <c r="AF91" i="10"/>
  <c r="AE91" i="10"/>
  <c r="AD91" i="10"/>
  <c r="AC91" i="10"/>
  <c r="AB91" i="10"/>
  <c r="AA91" i="10"/>
  <c r="Z91" i="10"/>
  <c r="Y91" i="10"/>
  <c r="X91" i="10"/>
  <c r="W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AG85" i="10"/>
  <c r="AF85" i="10"/>
  <c r="AE85" i="10"/>
  <c r="AD85" i="10"/>
  <c r="AC85" i="10"/>
  <c r="AB85" i="10"/>
  <c r="AA85" i="10"/>
  <c r="Z85" i="10"/>
  <c r="Y85" i="10"/>
  <c r="X85" i="10"/>
  <c r="W85" i="10"/>
  <c r="V85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C85" i="10"/>
  <c r="B91" i="10"/>
  <c r="B85" i="10"/>
  <c r="AH95" i="10"/>
  <c r="AH81" i="10"/>
  <c r="AH75" i="10"/>
  <c r="AH71" i="10"/>
  <c r="AH65" i="10"/>
  <c r="AH61" i="10"/>
  <c r="AH55" i="10"/>
  <c r="AH51" i="10"/>
  <c r="AH45" i="10"/>
  <c r="AH41" i="10"/>
  <c r="AH35" i="10"/>
  <c r="AH31" i="10"/>
  <c r="AH25" i="10"/>
  <c r="AH21" i="10"/>
  <c r="AH15" i="10"/>
  <c r="AH11" i="10"/>
  <c r="AH5" i="10"/>
  <c r="AG64" i="11"/>
  <c r="AF64" i="11"/>
  <c r="AE64" i="11"/>
  <c r="AD64" i="11"/>
  <c r="AC64" i="11"/>
  <c r="AB64" i="11"/>
  <c r="AA64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B64" i="11"/>
  <c r="B61" i="11"/>
  <c r="AH71" i="11"/>
  <c r="AH68" i="11"/>
  <c r="AH57" i="11"/>
  <c r="AH54" i="11"/>
  <c r="AH50" i="11"/>
  <c r="AH47" i="11"/>
  <c r="AH43" i="11"/>
  <c r="AH40" i="11"/>
  <c r="AH36" i="11"/>
  <c r="AH33" i="11"/>
  <c r="AH29" i="11"/>
  <c r="AH26" i="11"/>
  <c r="AH22" i="11"/>
  <c r="AH19" i="11"/>
  <c r="AH15" i="11"/>
  <c r="AH12" i="11"/>
  <c r="AH8" i="11"/>
  <c r="AH5" i="11"/>
  <c r="AH17" i="12"/>
  <c r="AH16" i="12"/>
  <c r="AH15" i="12"/>
  <c r="AH13" i="12"/>
  <c r="AH12" i="12"/>
  <c r="AH11" i="12"/>
  <c r="AH10" i="12"/>
  <c r="AH9" i="12"/>
  <c r="AH8" i="12"/>
  <c r="AH7" i="12"/>
  <c r="AH6" i="12"/>
  <c r="AH5" i="12"/>
  <c r="AH4" i="12"/>
  <c r="AG14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CR14" i="3"/>
  <c r="CO14" i="3"/>
  <c r="CL14" i="3"/>
  <c r="CI14" i="3"/>
  <c r="CF14" i="3"/>
  <c r="CC14" i="3"/>
  <c r="BZ14" i="3"/>
  <c r="BW14" i="3"/>
  <c r="BT14" i="3"/>
  <c r="BQ14" i="3"/>
  <c r="BN14" i="3"/>
  <c r="BH14" i="3"/>
  <c r="BB14" i="3"/>
  <c r="AY14" i="3"/>
  <c r="AV14" i="3"/>
  <c r="AS14" i="3"/>
  <c r="AP14" i="3"/>
  <c r="AM14" i="3"/>
  <c r="AJ14" i="3"/>
  <c r="AG14" i="3"/>
  <c r="AD14" i="3"/>
  <c r="AA14" i="3"/>
  <c r="X14" i="3"/>
  <c r="U14" i="3"/>
  <c r="R14" i="3"/>
  <c r="O14" i="3"/>
  <c r="L14" i="3"/>
  <c r="I14" i="3"/>
  <c r="F14" i="3"/>
  <c r="C14" i="3"/>
  <c r="CR13" i="3"/>
  <c r="CO13" i="3"/>
  <c r="CL13" i="3"/>
  <c r="CI13" i="3"/>
  <c r="CF13" i="3"/>
  <c r="CC13" i="3"/>
  <c r="BZ13" i="3"/>
  <c r="BW13" i="3"/>
  <c r="BT13" i="3"/>
  <c r="BQ13" i="3"/>
  <c r="BN13" i="3"/>
  <c r="BH13" i="3"/>
  <c r="BB13" i="3"/>
  <c r="AY13" i="3"/>
  <c r="AV13" i="3"/>
  <c r="AS13" i="3"/>
  <c r="AP13" i="3"/>
  <c r="AM13" i="3"/>
  <c r="AJ13" i="3"/>
  <c r="AG13" i="3"/>
  <c r="AD13" i="3"/>
  <c r="AA13" i="3"/>
  <c r="X13" i="3"/>
  <c r="U13" i="3"/>
  <c r="R13" i="3"/>
  <c r="O13" i="3"/>
  <c r="L13" i="3"/>
  <c r="I13" i="3"/>
  <c r="F13" i="3"/>
  <c r="C13" i="3"/>
  <c r="CR12" i="3"/>
  <c r="CO12" i="3"/>
  <c r="CL12" i="3"/>
  <c r="CI12" i="3"/>
  <c r="CF12" i="3"/>
  <c r="CC12" i="3"/>
  <c r="BZ12" i="3"/>
  <c r="BW12" i="3"/>
  <c r="BT12" i="3"/>
  <c r="BQ12" i="3"/>
  <c r="BN12" i="3"/>
  <c r="BH12" i="3"/>
  <c r="BB12" i="3"/>
  <c r="AY12" i="3"/>
  <c r="AV12" i="3"/>
  <c r="AS12" i="3"/>
  <c r="AP12" i="3"/>
  <c r="AM12" i="3"/>
  <c r="AJ12" i="3"/>
  <c r="AG12" i="3"/>
  <c r="AD12" i="3"/>
  <c r="AA12" i="3"/>
  <c r="X12" i="3"/>
  <c r="U12" i="3"/>
  <c r="R12" i="3"/>
  <c r="O12" i="3"/>
  <c r="L12" i="3"/>
  <c r="I12" i="3"/>
  <c r="F12" i="3"/>
  <c r="C12" i="3"/>
  <c r="CR11" i="3"/>
  <c r="CO11" i="3"/>
  <c r="CL11" i="3"/>
  <c r="CI11" i="3"/>
  <c r="CF11" i="3"/>
  <c r="CC11" i="3"/>
  <c r="BZ11" i="3"/>
  <c r="BW11" i="3"/>
  <c r="BT11" i="3"/>
  <c r="BQ11" i="3"/>
  <c r="BN11" i="3"/>
  <c r="BK11" i="3"/>
  <c r="BH11" i="3"/>
  <c r="BE11" i="3"/>
  <c r="BB11" i="3"/>
  <c r="AY11" i="3"/>
  <c r="AV11" i="3"/>
  <c r="AS11" i="3"/>
  <c r="AP11" i="3"/>
  <c r="AM11" i="3"/>
  <c r="AJ11" i="3"/>
  <c r="AG11" i="3"/>
  <c r="AD11" i="3"/>
  <c r="AA11" i="3"/>
  <c r="X11" i="3"/>
  <c r="U11" i="3"/>
  <c r="R11" i="3"/>
  <c r="O11" i="3"/>
  <c r="L11" i="3"/>
  <c r="I11" i="3"/>
  <c r="F11" i="3"/>
  <c r="C11" i="3"/>
  <c r="CR10" i="3"/>
  <c r="CO10" i="3"/>
  <c r="CL10" i="3"/>
  <c r="CI10" i="3"/>
  <c r="CF10" i="3"/>
  <c r="CC10" i="3"/>
  <c r="BZ10" i="3"/>
  <c r="BW10" i="3"/>
  <c r="BT10" i="3"/>
  <c r="BQ10" i="3"/>
  <c r="BN10" i="3"/>
  <c r="BH10" i="3"/>
  <c r="BB10" i="3"/>
  <c r="AY10" i="3"/>
  <c r="AV10" i="3"/>
  <c r="AS10" i="3"/>
  <c r="AP10" i="3"/>
  <c r="AM10" i="3"/>
  <c r="AJ10" i="3"/>
  <c r="AG10" i="3"/>
  <c r="AD10" i="3"/>
  <c r="AA10" i="3"/>
  <c r="X10" i="3"/>
  <c r="U10" i="3"/>
  <c r="R10" i="3"/>
  <c r="O10" i="3"/>
  <c r="L10" i="3"/>
  <c r="I10" i="3"/>
  <c r="F10" i="3"/>
  <c r="C10" i="3"/>
  <c r="CR9" i="3"/>
  <c r="CO9" i="3"/>
  <c r="CL9" i="3"/>
  <c r="CI9" i="3"/>
  <c r="CF9" i="3"/>
  <c r="CC9" i="3"/>
  <c r="BZ9" i="3"/>
  <c r="BW9" i="3"/>
  <c r="BT9" i="3"/>
  <c r="BQ9" i="3"/>
  <c r="BN9" i="3"/>
  <c r="BK9" i="3"/>
  <c r="BH9" i="3"/>
  <c r="BE9" i="3"/>
  <c r="BB9" i="3"/>
  <c r="AY9" i="3"/>
  <c r="AV9" i="3"/>
  <c r="AS9" i="3"/>
  <c r="AP9" i="3"/>
  <c r="AM9" i="3"/>
  <c r="AJ9" i="3"/>
  <c r="AG9" i="3"/>
  <c r="AD9" i="3"/>
  <c r="AA9" i="3"/>
  <c r="X9" i="3"/>
  <c r="U9" i="3"/>
  <c r="R9" i="3"/>
  <c r="O9" i="3"/>
  <c r="L9" i="3"/>
  <c r="I9" i="3"/>
  <c r="F9" i="3"/>
  <c r="C9" i="3"/>
  <c r="CR8" i="3"/>
  <c r="CO8" i="3"/>
  <c r="CL8" i="3"/>
  <c r="CI8" i="3"/>
  <c r="CF8" i="3"/>
  <c r="CC8" i="3"/>
  <c r="BZ8" i="3"/>
  <c r="BW8" i="3"/>
  <c r="BT8" i="3"/>
  <c r="BQ8" i="3"/>
  <c r="BN8" i="3"/>
  <c r="BH8" i="3"/>
  <c r="BB8" i="3"/>
  <c r="AY8" i="3"/>
  <c r="AV8" i="3"/>
  <c r="AS8" i="3"/>
  <c r="AP8" i="3"/>
  <c r="AM8" i="3"/>
  <c r="AJ8" i="3"/>
  <c r="AG8" i="3"/>
  <c r="AD8" i="3"/>
  <c r="AA8" i="3"/>
  <c r="X8" i="3"/>
  <c r="U8" i="3"/>
  <c r="R8" i="3"/>
  <c r="O8" i="3"/>
  <c r="L8" i="3"/>
  <c r="I8" i="3"/>
  <c r="F8" i="3"/>
  <c r="C8" i="3"/>
  <c r="CR7" i="3"/>
  <c r="CO7" i="3"/>
  <c r="CL7" i="3"/>
  <c r="CI7" i="3"/>
  <c r="CF7" i="3"/>
  <c r="CC7" i="3"/>
  <c r="BZ7" i="3"/>
  <c r="BW7" i="3"/>
  <c r="BT7" i="3"/>
  <c r="BQ7" i="3"/>
  <c r="BN7" i="3"/>
  <c r="BH7" i="3"/>
  <c r="BB7" i="3"/>
  <c r="AY7" i="3"/>
  <c r="AV7" i="3"/>
  <c r="AS7" i="3"/>
  <c r="AP7" i="3"/>
  <c r="AM7" i="3"/>
  <c r="AJ7" i="3"/>
  <c r="AG7" i="3"/>
  <c r="AD7" i="3"/>
  <c r="AA7" i="3"/>
  <c r="X7" i="3"/>
  <c r="U7" i="3"/>
  <c r="R7" i="3"/>
  <c r="O7" i="3"/>
  <c r="L7" i="3"/>
  <c r="I7" i="3"/>
  <c r="F7" i="3"/>
  <c r="C7" i="3"/>
  <c r="CR6" i="3"/>
  <c r="CO6" i="3"/>
  <c r="CL6" i="3"/>
  <c r="CI6" i="3"/>
  <c r="CF6" i="3"/>
  <c r="CC6" i="3"/>
  <c r="BZ6" i="3"/>
  <c r="BW6" i="3"/>
  <c r="BT6" i="3"/>
  <c r="BQ6" i="3"/>
  <c r="BN6" i="3"/>
  <c r="BH6" i="3"/>
  <c r="BB6" i="3"/>
  <c r="AY6" i="3"/>
  <c r="AV6" i="3"/>
  <c r="AS6" i="3"/>
  <c r="AP6" i="3"/>
  <c r="AM6" i="3"/>
  <c r="AJ6" i="3"/>
  <c r="AG6" i="3"/>
  <c r="AD6" i="3"/>
  <c r="AA6" i="3"/>
  <c r="X6" i="3"/>
  <c r="U6" i="3"/>
  <c r="R6" i="3"/>
  <c r="O6" i="3"/>
  <c r="L6" i="3"/>
  <c r="I6" i="3"/>
  <c r="F6" i="3"/>
  <c r="C6" i="3"/>
  <c r="CR5" i="3"/>
  <c r="CO5" i="3"/>
  <c r="CL5" i="3"/>
  <c r="CI5" i="3"/>
  <c r="CF5" i="3"/>
  <c r="CC5" i="3"/>
  <c r="BZ5" i="3"/>
  <c r="BW5" i="3"/>
  <c r="BT5" i="3"/>
  <c r="BQ5" i="3"/>
  <c r="BN5" i="3"/>
  <c r="BH5" i="3"/>
  <c r="BB5" i="3"/>
  <c r="AY5" i="3"/>
  <c r="AV5" i="3"/>
  <c r="AS5" i="3"/>
  <c r="AP5" i="3"/>
  <c r="AM5" i="3"/>
  <c r="AJ5" i="3"/>
  <c r="AG5" i="3"/>
  <c r="AD5" i="3"/>
  <c r="AA5" i="3"/>
  <c r="X5" i="3"/>
  <c r="U5" i="3"/>
  <c r="R5" i="3"/>
  <c r="O5" i="3"/>
  <c r="L5" i="3"/>
  <c r="I5" i="3"/>
  <c r="F5" i="3"/>
  <c r="C5" i="3"/>
  <c r="Q25" i="8" l="1"/>
  <c r="AG25" i="8"/>
  <c r="T25" i="8"/>
  <c r="C25" i="8"/>
  <c r="K25" i="8"/>
  <c r="G25" i="8"/>
  <c r="O25" i="8"/>
  <c r="B25" i="8"/>
  <c r="D25" i="8"/>
  <c r="V25" i="8"/>
  <c r="I25" i="8"/>
  <c r="X25" i="8"/>
  <c r="M25" i="8"/>
  <c r="AH77" i="9"/>
  <c r="AH80" i="9"/>
  <c r="AH14" i="12"/>
  <c r="AE25" i="8"/>
  <c r="AA25" i="8"/>
  <c r="Z25" i="8"/>
  <c r="W25" i="8"/>
  <c r="U25" i="8"/>
  <c r="H25" i="8"/>
  <c r="E25" i="8"/>
  <c r="AF25" i="8"/>
  <c r="AD25" i="8"/>
  <c r="AC25" i="8"/>
  <c r="AB25" i="8"/>
  <c r="Y25" i="8"/>
  <c r="R25" i="8"/>
  <c r="P25" i="8"/>
  <c r="N25" i="8"/>
  <c r="L25" i="8"/>
  <c r="J25" i="8"/>
  <c r="AH14" i="8"/>
  <c r="AH24" i="8"/>
  <c r="F25" i="8"/>
  <c r="AH21" i="8"/>
  <c r="AH82" i="9"/>
  <c r="AH85" i="10"/>
  <c r="AH61" i="11"/>
  <c r="AH64" i="11"/>
  <c r="AH25" i="8" l="1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M11" i="6"/>
  <c r="BL11" i="6"/>
  <c r="BK11" i="6"/>
  <c r="BJ11" i="6"/>
  <c r="BI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4" i="6"/>
  <c r="B11" i="6"/>
  <c r="AH13" i="18"/>
  <c r="AH12" i="18"/>
  <c r="AH11" i="18"/>
  <c r="AH10" i="18"/>
  <c r="AH9" i="18"/>
  <c r="AH8" i="18"/>
  <c r="AH7" i="18"/>
  <c r="AH6" i="18"/>
  <c r="AH5" i="18"/>
  <c r="AH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H16" i="17"/>
  <c r="AH14" i="17"/>
  <c r="AH13" i="17"/>
  <c r="AH12" i="17"/>
  <c r="AH11" i="17"/>
  <c r="AH10" i="17"/>
  <c r="AH9" i="17"/>
  <c r="AH8" i="17"/>
  <c r="AH7" i="17"/>
  <c r="AH6" i="17"/>
  <c r="AH5" i="17"/>
  <c r="AH4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H31" i="15"/>
  <c r="AH30" i="15"/>
  <c r="AH27" i="15"/>
  <c r="AH26" i="15"/>
  <c r="AH25" i="15"/>
  <c r="AH24" i="15"/>
  <c r="AH23" i="15"/>
  <c r="AH22" i="15"/>
  <c r="AH21" i="15"/>
  <c r="AH18" i="15"/>
  <c r="AH17" i="15"/>
  <c r="AH16" i="15"/>
  <c r="AH15" i="15"/>
  <c r="AH14" i="15"/>
  <c r="AH11" i="15"/>
  <c r="AH10" i="15"/>
  <c r="AH9" i="15"/>
  <c r="AH8" i="15"/>
  <c r="AH7" i="15"/>
  <c r="AH6" i="15"/>
  <c r="AH5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32" i="15"/>
  <c r="B28" i="15"/>
  <c r="B19" i="15"/>
  <c r="B12" i="15"/>
  <c r="AH10" i="13"/>
  <c r="AH8" i="13"/>
  <c r="AH7" i="13"/>
  <c r="AH6" i="13"/>
  <c r="AH5" i="13"/>
  <c r="AH4" i="13"/>
  <c r="AG9" i="13"/>
  <c r="AF9" i="13"/>
  <c r="AE9" i="13"/>
  <c r="AD9" i="13"/>
  <c r="AC9" i="13"/>
  <c r="AB9" i="13"/>
  <c r="AA9" i="13"/>
  <c r="Z9" i="13"/>
  <c r="Y9" i="13"/>
  <c r="X9" i="13"/>
  <c r="W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H32" i="15" l="1"/>
  <c r="AH19" i="15"/>
  <c r="AH28" i="15"/>
  <c r="AH12" i="15"/>
  <c r="AH15" i="17"/>
  <c r="AH9" i="13"/>
  <c r="AG6" i="1"/>
  <c r="AE6" i="1"/>
  <c r="AD6" i="1"/>
  <c r="AC6" i="1"/>
  <c r="AB6" i="1"/>
  <c r="AA6" i="1"/>
  <c r="Z6" i="1"/>
  <c r="Y6" i="1"/>
  <c r="W6" i="1"/>
  <c r="V6" i="1"/>
  <c r="U6" i="1"/>
  <c r="S6" i="1"/>
  <c r="R6" i="1"/>
  <c r="Q6" i="1"/>
  <c r="P6" i="1"/>
  <c r="O6" i="1"/>
  <c r="N6" i="1"/>
  <c r="M6" i="1"/>
  <c r="L6" i="1"/>
  <c r="K6" i="1"/>
  <c r="J6" i="1"/>
  <c r="I6" i="1"/>
  <c r="H6" i="1"/>
  <c r="G6" i="1"/>
  <c r="E6" i="1"/>
  <c r="D6" i="1"/>
  <c r="C6" i="1"/>
  <c r="B6" i="1"/>
  <c r="F6" i="1"/>
  <c r="AH11" i="1" l="1"/>
  <c r="AH10" i="1"/>
  <c r="AH9" i="1"/>
  <c r="AH7" i="1"/>
  <c r="AH5" i="1"/>
  <c r="AH4" i="1"/>
  <c r="AG14" i="1"/>
  <c r="AE14" i="1"/>
  <c r="AD14" i="1"/>
  <c r="AC14" i="1"/>
  <c r="AB14" i="1"/>
  <c r="AA14" i="1"/>
  <c r="Z14" i="1"/>
  <c r="Y14" i="1"/>
  <c r="W14" i="1"/>
  <c r="V14" i="1"/>
  <c r="U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E14" i="1"/>
  <c r="D14" i="1"/>
  <c r="C14" i="1"/>
  <c r="B14" i="1"/>
  <c r="AG12" i="1"/>
  <c r="AE12" i="1"/>
  <c r="AD12" i="1"/>
  <c r="AC12" i="1"/>
  <c r="AB12" i="1"/>
  <c r="AA12" i="1"/>
  <c r="Z12" i="1"/>
  <c r="Y12" i="1"/>
  <c r="W12" i="1"/>
  <c r="V12" i="1"/>
  <c r="U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F14" i="1" l="1"/>
  <c r="BK6" i="3"/>
  <c r="BK5" i="3"/>
  <c r="BK7" i="3"/>
  <c r="BK8" i="3"/>
  <c r="BK10" i="3"/>
  <c r="BK14" i="3"/>
  <c r="BK13" i="3"/>
  <c r="BK12" i="3"/>
  <c r="V91" i="10"/>
  <c r="V22" i="7"/>
  <c r="V20" i="7"/>
  <c r="V24" i="7" l="1"/>
  <c r="X6" i="1"/>
  <c r="X14" i="1"/>
  <c r="X12" i="1"/>
  <c r="AH15" i="7" l="1"/>
  <c r="U14" i="7"/>
  <c r="AH14" i="7" s="1"/>
  <c r="AH21" i="7"/>
  <c r="U20" i="7"/>
  <c r="AH20" i="7" s="1"/>
  <c r="U22" i="7"/>
  <c r="U24" i="7" s="1"/>
  <c r="AH24" i="7" s="1"/>
  <c r="AH22" i="7" l="1"/>
  <c r="U9" i="8"/>
  <c r="U91" i="10"/>
  <c r="T9" i="8" l="1"/>
  <c r="AH9" i="8" s="1"/>
  <c r="AH10" i="8"/>
  <c r="BN14" i="6"/>
  <c r="AL14" i="6"/>
  <c r="BN12" i="6"/>
  <c r="AM14" i="6"/>
  <c r="BO14" i="6" s="1"/>
  <c r="AM11" i="6"/>
  <c r="BO11" i="6" s="1"/>
  <c r="BO12" i="6"/>
  <c r="AL11" i="6"/>
  <c r="BN11" i="6" s="1"/>
  <c r="AH8" i="1"/>
  <c r="T6" i="1"/>
  <c r="AH6" i="1" l="1"/>
  <c r="T14" i="1"/>
  <c r="AH13" i="1"/>
  <c r="AH12" i="1" s="1"/>
  <c r="T12" i="1"/>
  <c r="AH14" i="1" l="1"/>
  <c r="T91" i="10"/>
  <c r="AH91" i="10" s="1"/>
  <c r="AH101" i="10"/>
  <c r="T14" i="18"/>
  <c r="AH14" i="18" s="1"/>
  <c r="AH15" i="18"/>
  <c r="BE6" i="3"/>
  <c r="BE7" i="3"/>
  <c r="BE5" i="3"/>
  <c r="BE8" i="3"/>
  <c r="BE10" i="3"/>
  <c r="BE14" i="3"/>
  <c r="BE13" i="3"/>
  <c r="BE12" i="3"/>
</calcChain>
</file>

<file path=xl/sharedStrings.xml><?xml version="1.0" encoding="utf-8"?>
<sst xmlns="http://schemas.openxmlformats.org/spreadsheetml/2006/main" count="2463" uniqueCount="319">
  <si>
    <t>Particulars</t>
  </si>
  <si>
    <t>Acko</t>
  </si>
  <si>
    <t>Aditya Birla</t>
  </si>
  <si>
    <t>AICL</t>
  </si>
  <si>
    <t>Bajaj Allianz</t>
  </si>
  <si>
    <t>Bharti Axa</t>
  </si>
  <si>
    <t>Cholamandalam</t>
  </si>
  <si>
    <t>Edelweiss</t>
  </si>
  <si>
    <t>ECGC</t>
  </si>
  <si>
    <t>Future Generali</t>
  </si>
  <si>
    <t>Go Digit</t>
  </si>
  <si>
    <t>HDFC Ergo</t>
  </si>
  <si>
    <t>ICICI Lombard</t>
  </si>
  <si>
    <t>Iffco Tokio</t>
  </si>
  <si>
    <t>Kotak</t>
  </si>
  <si>
    <t>Liberty</t>
  </si>
  <si>
    <t>Magma HDI</t>
  </si>
  <si>
    <t>National</t>
  </si>
  <si>
    <t>Raheja</t>
  </si>
  <si>
    <t>Reliance General</t>
  </si>
  <si>
    <t>Royal Sundaram</t>
  </si>
  <si>
    <t>SBI</t>
  </si>
  <si>
    <t>Shriram</t>
  </si>
  <si>
    <t>Star Health</t>
  </si>
  <si>
    <t>Tata AIG</t>
  </si>
  <si>
    <t>United India</t>
  </si>
  <si>
    <t>Universal Sompo</t>
  </si>
  <si>
    <t>Industry Total</t>
  </si>
  <si>
    <t>Premiums earned (Net)</t>
  </si>
  <si>
    <t>Profit/ Loss on sale/redemption of Investments</t>
  </si>
  <si>
    <t>Other Income</t>
  </si>
  <si>
    <t>Interest, Dividend &amp; Rent – Gross</t>
  </si>
  <si>
    <t>TOTAL (A)</t>
  </si>
  <si>
    <t>Claims Incurred (Net)</t>
  </si>
  <si>
    <t>Commission</t>
  </si>
  <si>
    <t>Operating Expenses related to Insurance Business</t>
  </si>
  <si>
    <t>TOTAL (B)</t>
  </si>
  <si>
    <t>Operating profit / (loss) (A-B)</t>
  </si>
  <si>
    <t>Others</t>
  </si>
  <si>
    <t>NL-1 Revenue Account</t>
  </si>
  <si>
    <t>in Rs. '000</t>
  </si>
  <si>
    <t>Capital Reserve</t>
  </si>
  <si>
    <t>Capital Redemption Reserve</t>
  </si>
  <si>
    <t>Share/Security Premium</t>
  </si>
  <si>
    <t>General Reserves</t>
  </si>
  <si>
    <t>Catastrophe Reserve</t>
  </si>
  <si>
    <t>Other Reserves</t>
  </si>
  <si>
    <t>Balance of Profit in Profit &amp; Loss Account</t>
  </si>
  <si>
    <t>TOTAL</t>
  </si>
  <si>
    <t>SECURITY-WISE CLASSIFICATION</t>
  </si>
  <si>
    <t>Secured</t>
  </si>
  <si>
    <t>(a) On mortgage of property</t>
  </si>
  <si>
    <t>(aa)  In India</t>
  </si>
  <si>
    <t>(bb) Outside India</t>
  </si>
  <si>
    <t>(b) On Shares, Bonds, Govt. Securities</t>
  </si>
  <si>
    <t>(c) Others</t>
  </si>
  <si>
    <t>Unsecured</t>
  </si>
  <si>
    <t>BORROWER-WISE CLASSIFICATION</t>
  </si>
  <si>
    <t>(a) Central and State Governments</t>
  </si>
  <si>
    <t>(b) Banks and Financial Institutions</t>
  </si>
  <si>
    <t>(c) Subsidiaries</t>
  </si>
  <si>
    <t>(d) Industrial Undertakings</t>
  </si>
  <si>
    <t xml:space="preserve">(e)  Others </t>
  </si>
  <si>
    <t>PERFORMANCE-WISE CLASSIFICATION</t>
  </si>
  <si>
    <t>(a) Loans classified as standard</t>
  </si>
  <si>
    <t>(b) Non-performing loans less provisions</t>
  </si>
  <si>
    <t>Provisions</t>
  </si>
  <si>
    <t>MATURITY-WISE CLASSIFICATION</t>
  </si>
  <si>
    <t>(a) Short Term</t>
  </si>
  <si>
    <t>(b) Long Term</t>
  </si>
  <si>
    <t>Goodwill</t>
  </si>
  <si>
    <t>Intangibles (Software)</t>
  </si>
  <si>
    <t>Land-Freehold</t>
  </si>
  <si>
    <t>Land-Leasehold</t>
  </si>
  <si>
    <t>Leasehold</t>
  </si>
  <si>
    <t xml:space="preserve">Buildings </t>
  </si>
  <si>
    <t>Furniture &amp; Fittings</t>
  </si>
  <si>
    <t>IT Equipments</t>
  </si>
  <si>
    <t>Motor Cars/Vehicles</t>
  </si>
  <si>
    <t>Office Equipments</t>
  </si>
  <si>
    <t>Electrical Equipments</t>
  </si>
  <si>
    <t>Other Assets</t>
  </si>
  <si>
    <t>Capital Work in progress</t>
  </si>
  <si>
    <t>Instangible Assets under development</t>
  </si>
  <si>
    <t>Grand Total</t>
  </si>
  <si>
    <t>Cash (including cheques, drafts and stamps)</t>
  </si>
  <si>
    <t>Bank Balances</t>
  </si>
  <si>
    <t>(a) Deposit Accounts</t>
  </si>
  <si>
    <t>           (aa) Short-term (due within 12 months)</t>
  </si>
  <si>
    <t>           (bb) Others</t>
  </si>
  <si>
    <t>(b) Current Accounts</t>
  </si>
  <si>
    <t>(c) Cheque in Hand</t>
  </si>
  <si>
    <t>(d) Others</t>
  </si>
  <si>
    <t>Money at Call and Short Notice</t>
  </si>
  <si>
    <t>(a) With Banks</t>
  </si>
  <si>
    <t>(b) With other Institutions</t>
  </si>
  <si>
    <t>Agents’ Balances</t>
  </si>
  <si>
    <t>Balances due to other insurance companies</t>
  </si>
  <si>
    <t>Deposits held on re-insurance ceded</t>
  </si>
  <si>
    <t>Premiums received in advance</t>
  </si>
  <si>
    <t>Unallocated Premium</t>
  </si>
  <si>
    <t>Sundry creditors</t>
  </si>
  <si>
    <t>Due to subsidiaries/ holding company</t>
  </si>
  <si>
    <t xml:space="preserve">Claims Outstanding </t>
  </si>
  <si>
    <t>Due to Directors/Officers</t>
  </si>
  <si>
    <t>Unclaimed amount of Policyholders</t>
  </si>
  <si>
    <t>in Rs. Lakhs</t>
  </si>
  <si>
    <t>Available Assets in Policyholders’ Funds</t>
  </si>
  <si>
    <t>Deduct:</t>
  </si>
  <si>
    <t>Liabilities (reserves as mentioned in Form HG)</t>
  </si>
  <si>
    <t>Other Liabilities (other liabilities in respect of  Policyholders’ Fund as mentioned in Balance Sheet)</t>
  </si>
  <si>
    <t>Current Liabilities as per Balance Sheet</t>
  </si>
  <si>
    <t>Provisions as per Balance Sheet</t>
  </si>
  <si>
    <t xml:space="preserve">Excess in Policyholders’ Funds </t>
  </si>
  <si>
    <t>Available Assets in Shareholders’ Funds</t>
  </si>
  <si>
    <t>Other Liabilities (other liabilities in respect of Shareholders’ Fund as mentioned in Balance Sheet)</t>
  </si>
  <si>
    <t>Excess in Shareholders’ Funds</t>
  </si>
  <si>
    <t>Total Available Solvency Margin [ASM]</t>
  </si>
  <si>
    <t>Total Required Solvency Margin  [RSM]</t>
  </si>
  <si>
    <t>Solvency Ratio (Total ASM/Total RSM)</t>
  </si>
  <si>
    <t xml:space="preserve">NL-40 Business Acquisition Through Different Channels </t>
  </si>
  <si>
    <t>No. of Policies- in number only, Premium- in Rs. Lakhs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</si>
  <si>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</si>
  <si>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</si>
  <si>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</si>
  <si>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</si>
  <si>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</si>
  <si>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</si>
  <si>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Total (A)</t>
  </si>
  <si>
    <t>Referral (B)</t>
  </si>
  <si>
    <t>Grand Total (A+B)</t>
  </si>
  <si>
    <t>No.of Policies</t>
  </si>
  <si>
    <t>Premium</t>
  </si>
  <si>
    <t>NL-30 Analytical Ratios</t>
  </si>
  <si>
    <t>Gross Premium Growth Rate</t>
  </si>
  <si>
    <t>Gross Premium to shareholders' fund ratio</t>
  </si>
  <si>
    <t>Gross Direct Premium to Net Worth Ratio</t>
  </si>
  <si>
    <t>Growth Rate of Net Worth</t>
  </si>
  <si>
    <t>Growth rate of shareholders' fund</t>
  </si>
  <si>
    <t>Net Retention Ratio</t>
  </si>
  <si>
    <t>Net Commission Ratio</t>
  </si>
  <si>
    <t>Expense of Management to Gross Direct Premium Ratio</t>
  </si>
  <si>
    <t>Expense of Management to Net Written Premium Ratio</t>
  </si>
  <si>
    <t>Net Incurred claims to Net Earned Premium</t>
  </si>
  <si>
    <t>Combined Ratio</t>
  </si>
  <si>
    <t>Technical Reserves to net premium ratio</t>
  </si>
  <si>
    <t>Underwriting balance ratio</t>
  </si>
  <si>
    <t>Operating Profit Ratio</t>
  </si>
  <si>
    <t>Liquid Assets to Liabilities ratio</t>
  </si>
  <si>
    <t>Net earning ratio</t>
  </si>
  <si>
    <t>Return on net worth ratio</t>
  </si>
  <si>
    <t>Available Solvency Margin Ratio to Required Solvency Margin Ratio</t>
  </si>
  <si>
    <t>NPA Ratio</t>
  </si>
  <si>
    <t>Gross NPA Ratio</t>
  </si>
  <si>
    <t>Net NPA Ratio</t>
  </si>
  <si>
    <t>Motor TP</t>
  </si>
  <si>
    <t>Non TP</t>
  </si>
  <si>
    <t>Total</t>
  </si>
  <si>
    <t>Claims o/s at the beginning of the period</t>
  </si>
  <si>
    <t>Claims reported during the period</t>
  </si>
  <si>
    <t>Claims settled during the period</t>
  </si>
  <si>
    <t>Claims repudiated during the period</t>
  </si>
  <si>
    <t>Claims closed during the period</t>
  </si>
  <si>
    <t>Claims o/s at end of the period</t>
  </si>
  <si>
    <t>Less than 3 months</t>
  </si>
  <si>
    <t>3 months to 6 months</t>
  </si>
  <si>
    <t>6 months to 1 year</t>
  </si>
  <si>
    <t>1 year and above</t>
  </si>
  <si>
    <t>No. of Claims only</t>
  </si>
  <si>
    <t>No. of Reinsurers</t>
  </si>
  <si>
    <t>Premium ceded to reinsurers</t>
  </si>
  <si>
    <t>Premium ceded to reinsurers/ Total reinsurance premium ceded (%)</t>
  </si>
  <si>
    <t>Proportional</t>
  </si>
  <si>
    <t>Non-Proportional</t>
  </si>
  <si>
    <t>Facultative</t>
  </si>
  <si>
    <t>Reinsurance Placement</t>
  </si>
  <si>
    <t>No. of Reinsurers with rating of AAA and above</t>
  </si>
  <si>
    <t>No. of Reinsurers with rating AA but less than AAA</t>
  </si>
  <si>
    <t>No. of Reinsurers with rating A but less than AA</t>
  </si>
  <si>
    <t xml:space="preserve">No. of Reinsurers with rating BBB but less than A </t>
  </si>
  <si>
    <t>No. of Reinsurers with rating less than BBB</t>
  </si>
  <si>
    <t>No. of Domestic Reinsurance Placed with Indian Insurance Companies</t>
  </si>
  <si>
    <t>Domestic Capacity</t>
  </si>
  <si>
    <t>No. of Indian reinsurer other than GIC</t>
  </si>
  <si>
    <t>Government</t>
  </si>
  <si>
    <t>Shareholders</t>
  </si>
  <si>
    <t>Policyholders</t>
  </si>
  <si>
    <t>LONG TERM INVESTMENTS</t>
  </si>
  <si>
    <t>Government securities and Government guaranteed bonds including Treasury Bills</t>
  </si>
  <si>
    <t>Other Approved Securities</t>
  </si>
  <si>
    <t>Other Investments</t>
  </si>
  <si>
    <t>(a) Shares</t>
  </si>
  <si>
    <t xml:space="preserve">      (aa)  Equity</t>
  </si>
  <si>
    <t xml:space="preserve">      (bb) Preference</t>
  </si>
  <si>
    <t>(b) Mutual Funds</t>
  </si>
  <si>
    <t>(c) Debentures/ Bonds</t>
  </si>
  <si>
    <t>(d) Other securities</t>
  </si>
  <si>
    <t>(e) Non convertible debenture/bonds</t>
  </si>
  <si>
    <t>(f) Subsidiaries</t>
  </si>
  <si>
    <t>(g) Investment properties - Real Estate</t>
  </si>
  <si>
    <t>Investments in Infrastructure and Social Sector</t>
  </si>
  <si>
    <t>Other than Approved Investments</t>
  </si>
  <si>
    <t>TOTAL LONG TERM INVESTMENTS</t>
  </si>
  <si>
    <t>SHORT TERM INVESTMENTS</t>
  </si>
  <si>
    <t>TOTAL SHORT TERM INVESTMENTS</t>
  </si>
  <si>
    <t>NL-25 Quarterly Claims Data (Q1)</t>
  </si>
  <si>
    <t>(d) Non convertible debenture/bonds</t>
  </si>
  <si>
    <t>(e) Other securities</t>
  </si>
  <si>
    <t>(f) Fixed Deposit with Bank</t>
  </si>
  <si>
    <t>(g) Subsidiaries</t>
  </si>
  <si>
    <t>NL-7 Operating Expenses</t>
  </si>
  <si>
    <t>Employees remuneration and welfare benefits</t>
  </si>
  <si>
    <t>Travel conveyance and vehicle running expenses</t>
  </si>
  <si>
    <t>Training expenses</t>
  </si>
  <si>
    <t>Rent, rates and taxes</t>
  </si>
  <si>
    <t>Repairs and maintenance</t>
  </si>
  <si>
    <t>Printing and stationery</t>
  </si>
  <si>
    <t>Communication</t>
  </si>
  <si>
    <t>Legal and Professional Charges</t>
  </si>
  <si>
    <t>Advertisement and publicity</t>
  </si>
  <si>
    <t>Interest and bank charges</t>
  </si>
  <si>
    <t>Depreciation</t>
  </si>
  <si>
    <t>Service Tax Expenses / GST Expenses</t>
  </si>
  <si>
    <t>NL-6 Commission</t>
  </si>
  <si>
    <t>FIRE</t>
  </si>
  <si>
    <t>MARINE</t>
  </si>
  <si>
    <t>MOTOR</t>
  </si>
  <si>
    <t>ENGINEERING</t>
  </si>
  <si>
    <t>HEALTH</t>
  </si>
  <si>
    <t>PERSONAL ACCIDENT</t>
  </si>
  <si>
    <t>AVIATION</t>
  </si>
  <si>
    <t>OTHER MISCELLANEOUS</t>
  </si>
  <si>
    <t>Direct</t>
  </si>
  <si>
    <t>Net Commission</t>
  </si>
  <si>
    <t xml:space="preserve">NL-5 Claims </t>
  </si>
  <si>
    <t>Direct claims</t>
  </si>
  <si>
    <t>Net Premium</t>
  </si>
  <si>
    <t>Net Earned Premium</t>
  </si>
  <si>
    <t xml:space="preserve">NL-4 Premium </t>
  </si>
  <si>
    <t>SOURCES OF FUNDS</t>
  </si>
  <si>
    <t>Share Capital</t>
  </si>
  <si>
    <t>Reserves and Surplus</t>
  </si>
  <si>
    <t>Fair Value Change Account</t>
  </si>
  <si>
    <t>Borrowings</t>
  </si>
  <si>
    <t>APPLICATION OF FUNDS</t>
  </si>
  <si>
    <t>Investments- Shareholders Funds</t>
  </si>
  <si>
    <t>Investments- Policyholders Funds</t>
  </si>
  <si>
    <t>Total Investments</t>
  </si>
  <si>
    <t>Loans</t>
  </si>
  <si>
    <t>Fixed Assets</t>
  </si>
  <si>
    <t>Deferred Tax Assets</t>
  </si>
  <si>
    <t>Current Assets</t>
  </si>
  <si>
    <t>Cash and Bank Balances</t>
  </si>
  <si>
    <t>Advances and Other Assets</t>
  </si>
  <si>
    <t>Sub-Total (A)</t>
  </si>
  <si>
    <t>Current Liabilities</t>
  </si>
  <si>
    <t>Sub-Total (B)</t>
  </si>
  <si>
    <t>NET CURRENT ASSETS (C) = (A - B)</t>
  </si>
  <si>
    <t>Miscellaneous Expenditure (to the extent not written off or adjusted)</t>
  </si>
  <si>
    <t>Debit Balance in Profit and Loss Account</t>
  </si>
  <si>
    <t>OPERATING PROFIT/(LOSS)</t>
  </si>
  <si>
    <t>(a) Fire Insurance</t>
  </si>
  <si>
    <t>(b) Marine Insurance</t>
  </si>
  <si>
    <t>(c) Miscellaneous Insurance</t>
  </si>
  <si>
    <t>INCOME FROM INVESTMENTS</t>
  </si>
  <si>
    <t>(a) Interest, Dividend &amp; Rent – Gross</t>
  </si>
  <si>
    <t>(b) Profit on sale of investments</t>
  </si>
  <si>
    <t>Less: Loss on sale of investments</t>
  </si>
  <si>
    <t>(c) Accretion/(Amortisation) of Debt Securities</t>
  </si>
  <si>
    <t>(d) Amortization of Discount / (Premium)</t>
  </si>
  <si>
    <t>OTHER INCOME</t>
  </si>
  <si>
    <t>PROVISIONS (Other than taxation)</t>
  </si>
  <si>
    <t>(a) For diminution in the value of investments</t>
  </si>
  <si>
    <t>(b) For doubtful debts</t>
  </si>
  <si>
    <t xml:space="preserve">OTHER EXPENSES </t>
  </si>
  <si>
    <t>PROFIT / (LOSS) BEFORE TAX (A-B)</t>
  </si>
  <si>
    <t>PROFIT / (LOSS) AFTER TAX</t>
  </si>
  <si>
    <t>Provision for Taxation</t>
  </si>
  <si>
    <t>Premium from direct business written</t>
  </si>
  <si>
    <r>
      <t xml:space="preserve">NL-23 Reinsurance Risk Concentration
</t>
    </r>
    <r>
      <rPr>
        <b/>
        <sz val="12"/>
        <color theme="4" tint="-0.499984740745262"/>
        <rFont val="Calibri"/>
        <family val="2"/>
        <scheme val="minor"/>
      </rPr>
      <t xml:space="preserve">Rs. In Lakhs </t>
    </r>
  </si>
  <si>
    <t>Total Claims Incurred</t>
  </si>
  <si>
    <t>Premium on reinsurance accepted</t>
  </si>
  <si>
    <t>Premium on reinsurance ceded</t>
  </si>
  <si>
    <t>Reinsurance accepted</t>
  </si>
  <si>
    <t>Reinsurance ceded</t>
  </si>
  <si>
    <t>Claims Outstanding at the beginning of the year</t>
  </si>
  <si>
    <t>Claims Outstanding at the end of the year</t>
  </si>
  <si>
    <t>Manipal Cigna</t>
  </si>
  <si>
    <t>GoDigit</t>
  </si>
  <si>
    <t>Raheja QBE</t>
  </si>
  <si>
    <t>Aditya Birla Health</t>
  </si>
  <si>
    <t>Care Health</t>
  </si>
  <si>
    <t>Cholamandalam MS</t>
  </si>
  <si>
    <t>Manipal Cigna Health</t>
  </si>
  <si>
    <t>Navi</t>
  </si>
  <si>
    <t>Reliance</t>
  </si>
  <si>
    <t>The New India Assurance</t>
  </si>
  <si>
    <t>The Oriental</t>
  </si>
  <si>
    <t>The New India</t>
  </si>
  <si>
    <t>NL-33 Solvency Margin KGII for the period ended 30 June 2021</t>
  </si>
  <si>
    <t>NL-17 Current Liabilities as at 30 June 2021</t>
  </si>
  <si>
    <t>NL-15 Cash and Bank Balance as at 30 June 2021</t>
  </si>
  <si>
    <t>NL-14 Fixed Assets. Net Block as at 30 June 2021</t>
  </si>
  <si>
    <t>NL-13 Loans as at 30 June 2021</t>
  </si>
  <si>
    <t>NL-12 Investments as at 30 June 2021</t>
  </si>
  <si>
    <t>NL-10 Reserves and Surplus as at 30 June 2021</t>
  </si>
  <si>
    <t>CROP</t>
  </si>
  <si>
    <t>Adjustment for change in reserve for 
unexpired risks</t>
  </si>
  <si>
    <t>NL-3 Balance Sheet as at 30 June 2021</t>
  </si>
  <si>
    <t>NL-2 Profit and Loss Account upto the year ended 30 June 2021</t>
  </si>
  <si>
    <t>Gross Incurred Claims</t>
  </si>
  <si>
    <t>Reinsurance accepted to direct claims</t>
  </si>
  <si>
    <t>Reinsurance ceded to claims paid</t>
  </si>
  <si>
    <t>Niva Bupa</t>
  </si>
  <si>
    <t>1.11 Times</t>
  </si>
  <si>
    <t xml:space="preserve">2.41 Times </t>
  </si>
  <si>
    <t>(0.43) Times</t>
  </si>
  <si>
    <t>0.39 Times</t>
  </si>
  <si>
    <t xml:space="preserve">1.65 Times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</si>
</sst>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"/>
    <numFmt numFmtId="168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5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ill="0" applyBorder="0" applyAlignment="0" applyProtection="0"/>
    <xf numFmtId="0" fontId="10" fillId="0" borderId="0"/>
    <xf numFmtId="168" fontId="9" fillId="0" borderId="0" applyFill="0" applyBorder="0" applyAlignment="0" applyProtection="0"/>
  </cellStyleXfs>
  <cellXfs count="125">
    <xf numFmtId="0" fontId="0" fillId="0" borderId="0" xfId="0"/>
    <xf numFmtId="1" fontId="1" fillId="0" borderId="1" xfId="0" applyNumberFormat="1" applyFont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1" fillId="0" borderId="0" xfId="0" applyFont="1"/>
    <xf numFmtId="1" fontId="4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" fontId="1" fillId="0" borderId="0" xfId="0" applyNumberFormat="1" applyFont="1"/>
    <xf numFmtId="1" fontId="4" fillId="0" borderId="0" xfId="0" applyNumberFormat="1" applyFont="1"/>
    <xf numFmtId="1" fontId="0" fillId="0" borderId="1" xfId="0" applyNumberFormat="1" applyBorder="1"/>
    <xf numFmtId="1" fontId="1" fillId="0" borderId="1" xfId="0" applyNumberFormat="1" applyFont="1" applyBorder="1"/>
    <xf numFmtId="0" fontId="0" fillId="0" borderId="0" xfId="0" applyAlignment="1">
      <alignment wrapText="1"/>
    </xf>
    <xf numFmtId="0" fontId="4" fillId="0" borderId="0" xfId="0" applyFont="1" applyAlignment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1" fontId="4" fillId="0" borderId="0" xfId="0" applyNumberFormat="1" applyFont="1" applyAlignment="1"/>
    <xf numFmtId="1" fontId="0" fillId="0" borderId="0" xfId="0" applyNumberFormat="1" applyFont="1" applyAlignment="1">
      <alignment wrapText="1"/>
    </xf>
    <xf numFmtId="1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2" fontId="2" fillId="0" borderId="1" xfId="0" applyNumberFormat="1" applyFont="1" applyBorder="1"/>
    <xf numFmtId="1" fontId="0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0" fillId="0" borderId="0" xfId="0" applyNumberFormat="1" applyFont="1"/>
    <xf numFmtId="1" fontId="7" fillId="0" borderId="0" xfId="0" applyNumberFormat="1" applyFont="1"/>
    <xf numFmtId="1" fontId="0" fillId="0" borderId="1" xfId="0" applyNumberFormat="1" applyFont="1" applyBorder="1"/>
    <xf numFmtId="1" fontId="0" fillId="0" borderId="0" xfId="0" applyNumberFormat="1" applyFont="1" applyBorder="1"/>
    <xf numFmtId="1" fontId="7" fillId="0" borderId="0" xfId="0" applyNumberFormat="1" applyFont="1" applyBorder="1"/>
    <xf numFmtId="1" fontId="7" fillId="0" borderId="0" xfId="0" applyNumberFormat="1" applyFont="1" applyAlignment="1">
      <alignment wrapText="1"/>
    </xf>
    <xf numFmtId="1" fontId="0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2" fontId="1" fillId="0" borderId="0" xfId="0" applyNumberFormat="1" applyFont="1"/>
    <xf numFmtId="1" fontId="2" fillId="0" borderId="1" xfId="0" applyNumberFormat="1" applyFont="1" applyBorder="1"/>
    <xf numFmtId="1" fontId="2" fillId="0" borderId="0" xfId="0" applyNumberFormat="1" applyFont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9" fontId="0" fillId="0" borderId="1" xfId="0" applyNumberFormat="1" applyBorder="1"/>
    <xf numFmtId="10" fontId="0" fillId="0" borderId="1" xfId="0" applyNumberFormat="1" applyBorder="1"/>
    <xf numFmtId="10" fontId="0" fillId="0" borderId="1" xfId="1" applyNumberFormat="1" applyFont="1" applyBorder="1"/>
    <xf numFmtId="2" fontId="0" fillId="0" borderId="1" xfId="1" applyNumberFormat="1" applyFont="1" applyBorder="1"/>
    <xf numFmtId="10" fontId="2" fillId="0" borderId="1" xfId="1" applyNumberFormat="1" applyFont="1" applyBorder="1"/>
    <xf numFmtId="2" fontId="0" fillId="0" borderId="0" xfId="0" applyNumberFormat="1"/>
    <xf numFmtId="2" fontId="1" fillId="0" borderId="1" xfId="0" applyNumberFormat="1" applyFont="1" applyBorder="1" applyAlignment="1">
      <alignment horizontal="left" wrapText="1"/>
    </xf>
    <xf numFmtId="2" fontId="2" fillId="0" borderId="0" xfId="0" applyNumberFormat="1" applyFont="1"/>
    <xf numFmtId="10" fontId="0" fillId="0" borderId="0" xfId="1" applyNumberFormat="1" applyFont="1"/>
    <xf numFmtId="1" fontId="1" fillId="0" borderId="1" xfId="0" applyNumberFormat="1" applyFont="1" applyBorder="1" applyAlignment="1">
      <alignment horizontal="center"/>
    </xf>
    <xf numFmtId="1" fontId="4" fillId="0" borderId="0" xfId="0" applyNumberFormat="1" applyFont="1" applyFill="1" applyAlignment="1"/>
    <xf numFmtId="1" fontId="0" fillId="0" borderId="0" xfId="0" applyNumberFormat="1" applyFill="1"/>
    <xf numFmtId="1" fontId="0" fillId="0" borderId="0" xfId="0" applyNumberFormat="1" applyFill="1" applyAlignment="1">
      <alignment wrapText="1"/>
    </xf>
    <xf numFmtId="1" fontId="1" fillId="0" borderId="1" xfId="0" applyNumberFormat="1" applyFont="1" applyFill="1" applyBorder="1" applyAlignment="1">
      <alignment wrapText="1"/>
    </xf>
    <xf numFmtId="1" fontId="0" fillId="0" borderId="1" xfId="0" applyNumberFormat="1" applyFill="1" applyBorder="1"/>
    <xf numFmtId="1" fontId="0" fillId="0" borderId="1" xfId="0" applyNumberFormat="1" applyFill="1" applyBorder="1" applyAlignment="1">
      <alignment wrapText="1"/>
    </xf>
    <xf numFmtId="1" fontId="1" fillId="0" borderId="1" xfId="0" applyNumberFormat="1" applyFont="1" applyFill="1" applyBorder="1"/>
    <xf numFmtId="1" fontId="1" fillId="0" borderId="0" xfId="0" applyNumberFormat="1" applyFont="1" applyFill="1"/>
    <xf numFmtId="1" fontId="3" fillId="0" borderId="0" xfId="0" applyNumberFormat="1" applyFont="1"/>
    <xf numFmtId="2" fontId="4" fillId="0" borderId="0" xfId="0" applyNumberFormat="1" applyFont="1" applyAlignment="1">
      <alignment wrapText="1"/>
    </xf>
    <xf numFmtId="1" fontId="1" fillId="0" borderId="1" xfId="0" applyNumberFormat="1" applyFont="1" applyBorder="1" applyAlignment="1">
      <alignment horizontal="center"/>
    </xf>
    <xf numFmtId="9" fontId="2" fillId="0" borderId="1" xfId="1" applyFont="1" applyBorder="1"/>
    <xf numFmtId="2" fontId="0" fillId="0" borderId="1" xfId="0" applyNumberFormat="1" applyBorder="1"/>
    <xf numFmtId="1" fontId="1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0" fontId="0" fillId="0" borderId="0" xfId="0" applyNumberFormat="1"/>
    <xf numFmtId="9" fontId="0" fillId="0" borderId="0" xfId="0" applyNumberFormat="1"/>
    <xf numFmtId="0" fontId="0" fillId="0" borderId="4" xfId="0" applyBorder="1"/>
    <xf numFmtId="9" fontId="0" fillId="0" borderId="4" xfId="0" applyNumberFormat="1" applyBorder="1"/>
    <xf numFmtId="1" fontId="6" fillId="0" borderId="1" xfId="0" applyNumberFormat="1" applyFont="1" applyBorder="1"/>
    <xf numFmtId="9" fontId="0" fillId="0" borderId="1" xfId="1" applyFont="1" applyBorder="1"/>
    <xf numFmtId="9" fontId="2" fillId="0" borderId="1" xfId="1" applyNumberFormat="1" applyFont="1" applyBorder="1"/>
    <xf numFmtId="9" fontId="0" fillId="0" borderId="0" xfId="1" applyFont="1"/>
    <xf numFmtId="9" fontId="0" fillId="0" borderId="0" xfId="1" applyNumberFormat="1" applyFont="1"/>
    <xf numFmtId="9" fontId="0" fillId="0" borderId="1" xfId="1" applyNumberFormat="1" applyFont="1" applyBorder="1"/>
    <xf numFmtId="1" fontId="0" fillId="0" borderId="0" xfId="1" applyNumberFormat="1" applyFont="1"/>
    <xf numFmtId="1" fontId="0" fillId="0" borderId="1" xfId="1" applyNumberFormat="1" applyFont="1" applyBorder="1"/>
    <xf numFmtId="2" fontId="0" fillId="0" borderId="0" xfId="1" applyNumberFormat="1" applyFont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1" fillId="0" borderId="1" xfId="0" applyNumberFormat="1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3" fontId="0" fillId="0" borderId="0" xfId="0" applyNumberFormat="1"/>
    <xf numFmtId="2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3" fontId="0" fillId="0" borderId="1" xfId="0" applyNumberFormat="1" applyBorder="1"/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/>
  </cellXfs>
  <cellStyles count="7">
    <cellStyle name="Comma 2" xfId="4"/>
    <cellStyle name="Comma 3" xfId="3"/>
    <cellStyle name="Comma 4" xfId="6"/>
    <cellStyle name="Excel Built-in Normal" xfId="5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" customWidth="1"/>
    <col min="2" max="33" width="16" style="7" customWidth="1"/>
    <col min="34" max="34" width="16" style="8" customWidth="1"/>
    <col min="35" max="16384" width="9.140625" style="7"/>
  </cols>
  <sheetData>
    <row r="1" spans="1:34" ht="18.75" x14ac:dyDescent="0.3">
      <c r="A1" s="5" t="s">
        <v>39</v>
      </c>
    </row>
    <row r="2" spans="1:34" x14ac:dyDescent="0.25">
      <c r="A2" s="6" t="s">
        <v>40</v>
      </c>
    </row>
    <row r="3" spans="1:34" x14ac:dyDescent="0.25">
      <c r="A3" s="1" t="s">
        <v>0</v>
      </c>
      <c r="B3" s="89" t="s">
        <v>1</v>
      </c>
      <c r="C3" s="89" t="s">
        <v>290</v>
      </c>
      <c r="D3" s="89" t="s">
        <v>3</v>
      </c>
      <c r="E3" s="89" t="s">
        <v>4</v>
      </c>
      <c r="F3" s="89" t="s">
        <v>5</v>
      </c>
      <c r="G3" s="89" t="s">
        <v>291</v>
      </c>
      <c r="H3" s="89" t="s">
        <v>292</v>
      </c>
      <c r="I3" s="89" t="s">
        <v>8</v>
      </c>
      <c r="J3" s="89" t="s">
        <v>7</v>
      </c>
      <c r="K3" s="89" t="s">
        <v>9</v>
      </c>
      <c r="L3" s="89" t="s">
        <v>288</v>
      </c>
      <c r="M3" s="89" t="s">
        <v>11</v>
      </c>
      <c r="N3" s="89" t="s">
        <v>12</v>
      </c>
      <c r="O3" s="89" t="s">
        <v>13</v>
      </c>
      <c r="P3" s="89" t="s">
        <v>14</v>
      </c>
      <c r="Q3" s="89" t="s">
        <v>15</v>
      </c>
      <c r="R3" s="89" t="s">
        <v>16</v>
      </c>
      <c r="S3" s="89" t="s">
        <v>293</v>
      </c>
      <c r="T3" s="92" t="s">
        <v>17</v>
      </c>
      <c r="U3" s="92" t="s">
        <v>294</v>
      </c>
      <c r="V3" s="89" t="s">
        <v>313</v>
      </c>
      <c r="W3" s="89" t="s">
        <v>289</v>
      </c>
      <c r="X3" s="89" t="s">
        <v>295</v>
      </c>
      <c r="Y3" s="89" t="s">
        <v>20</v>
      </c>
      <c r="Z3" s="89" t="s">
        <v>21</v>
      </c>
      <c r="AA3" s="89" t="s">
        <v>22</v>
      </c>
      <c r="AB3" s="89" t="s">
        <v>23</v>
      </c>
      <c r="AC3" s="89" t="s">
        <v>24</v>
      </c>
      <c r="AD3" s="88" t="s">
        <v>296</v>
      </c>
      <c r="AE3" s="88" t="s">
        <v>297</v>
      </c>
      <c r="AF3" s="100" t="s">
        <v>25</v>
      </c>
      <c r="AG3" s="88" t="s">
        <v>26</v>
      </c>
      <c r="AH3" s="21" t="s">
        <v>27</v>
      </c>
    </row>
    <row r="4" spans="1:34" x14ac:dyDescent="0.25">
      <c r="A4" s="2" t="s">
        <v>28</v>
      </c>
      <c r="B4" s="10">
        <v>714245</v>
      </c>
      <c r="C4" s="10">
        <v>2380523</v>
      </c>
      <c r="D4">
        <v>6669098</v>
      </c>
      <c r="E4" s="10">
        <v>18151317</v>
      </c>
      <c r="F4" s="10">
        <v>4463838</v>
      </c>
      <c r="G4" s="10">
        <v>4696789</v>
      </c>
      <c r="H4" s="10">
        <f>84421+339635+7949443</f>
        <v>8373499</v>
      </c>
      <c r="I4" s="10">
        <v>1314441</v>
      </c>
      <c r="J4" s="10">
        <v>498641</v>
      </c>
      <c r="K4" s="10">
        <v>5294388</v>
      </c>
      <c r="L4" s="10">
        <v>6863648</v>
      </c>
      <c r="M4" s="10">
        <v>15659079</v>
      </c>
      <c r="N4" s="10">
        <v>27057718</v>
      </c>
      <c r="O4" s="10">
        <f>223260+206387+12648809</f>
        <v>13078456</v>
      </c>
      <c r="P4" s="10">
        <v>1152832</v>
      </c>
      <c r="Q4" s="7">
        <f>71275+47232+2934781</f>
        <v>3053288</v>
      </c>
      <c r="R4" s="10">
        <v>2024008</v>
      </c>
      <c r="S4" s="10">
        <v>1680355</v>
      </c>
      <c r="T4" s="10">
        <v>27640935.562457502</v>
      </c>
      <c r="U4" s="10">
        <v>202925</v>
      </c>
      <c r="V4" s="10">
        <v>3414833</v>
      </c>
      <c r="W4" s="10">
        <v>676911</v>
      </c>
      <c r="X4" s="10">
        <f>-41425+849257+9468403</f>
        <v>10276235</v>
      </c>
      <c r="Y4" s="10">
        <f>59469+134540+5060982</f>
        <v>5254991</v>
      </c>
      <c r="Z4" s="10">
        <v>9338308</v>
      </c>
      <c r="AA4" s="10">
        <v>4861542</v>
      </c>
      <c r="AB4" s="10">
        <v>22429789</v>
      </c>
      <c r="AC4" s="10">
        <v>15136561</v>
      </c>
      <c r="AD4" s="38">
        <f>1111825+6338785+60227974</f>
        <v>67678584</v>
      </c>
      <c r="AE4" s="10">
        <f>549593+2663828+22475223</f>
        <v>25688644</v>
      </c>
      <c r="AF4" s="10">
        <v>30832705</v>
      </c>
      <c r="AG4" s="10">
        <v>2900611</v>
      </c>
      <c r="AH4" s="11">
        <f>SUM(B4:AG4)</f>
        <v>349459737.5624575</v>
      </c>
    </row>
    <row r="5" spans="1:34" ht="30" x14ac:dyDescent="0.25">
      <c r="A5" s="2" t="s">
        <v>29</v>
      </c>
      <c r="B5" s="10">
        <v>5150</v>
      </c>
      <c r="C5" s="10">
        <v>19122</v>
      </c>
      <c r="D5" s="10">
        <v>20833</v>
      </c>
      <c r="E5" s="10">
        <v>865673</v>
      </c>
      <c r="F5" s="10">
        <v>678625</v>
      </c>
      <c r="G5" s="10">
        <v>9773</v>
      </c>
      <c r="H5" s="10">
        <f>1180+11046+245389</f>
        <v>257615</v>
      </c>
      <c r="I5" s="10">
        <v>186666</v>
      </c>
      <c r="J5" s="10">
        <v>9395</v>
      </c>
      <c r="K5" s="10">
        <v>40336</v>
      </c>
      <c r="L5" s="10">
        <v>9925</v>
      </c>
      <c r="M5" s="10">
        <v>256551</v>
      </c>
      <c r="N5" s="10">
        <v>1599283</v>
      </c>
      <c r="O5" s="10">
        <f>123+249+13093</f>
        <v>13465</v>
      </c>
      <c r="P5" s="10">
        <v>713</v>
      </c>
      <c r="Q5" s="10">
        <f>150+550+3594</f>
        <v>4294</v>
      </c>
      <c r="R5" s="10">
        <v>27841</v>
      </c>
      <c r="S5" s="10">
        <v>17174</v>
      </c>
      <c r="T5" s="10">
        <v>1789306</v>
      </c>
      <c r="U5" s="10">
        <v>48348</v>
      </c>
      <c r="V5" s="10">
        <v>151</v>
      </c>
      <c r="W5" s="10">
        <v>1122</v>
      </c>
      <c r="X5" s="10">
        <f>1204+11966+292352</f>
        <v>305522</v>
      </c>
      <c r="Y5" s="10">
        <f>1971+11639+356512</f>
        <v>370122</v>
      </c>
      <c r="Z5" s="10">
        <v>494357</v>
      </c>
      <c r="AA5" s="10">
        <v>332562</v>
      </c>
      <c r="AB5" s="10">
        <v>18370</v>
      </c>
      <c r="AC5" s="10">
        <v>1139825</v>
      </c>
      <c r="AD5">
        <f>43774+369584+2363318</f>
        <v>2776676</v>
      </c>
      <c r="AE5" s="10">
        <f>24579+87944+1261148</f>
        <v>1373671</v>
      </c>
      <c r="AF5" s="10">
        <v>829672</v>
      </c>
      <c r="AG5" s="10">
        <v>40958</v>
      </c>
      <c r="AH5" s="11">
        <f>SUM(B5:AG5)</f>
        <v>13543096</v>
      </c>
    </row>
    <row r="6" spans="1:34" x14ac:dyDescent="0.25">
      <c r="A6" s="2" t="s">
        <v>30</v>
      </c>
      <c r="B6" s="10">
        <f t="shared" ref="B6:E6" si="0">B8-B7-B5-B4</f>
        <v>0</v>
      </c>
      <c r="C6" s="10">
        <f t="shared" si="0"/>
        <v>-14357</v>
      </c>
      <c r="D6" s="10">
        <f t="shared" si="0"/>
        <v>29102</v>
      </c>
      <c r="E6" s="10">
        <f t="shared" si="0"/>
        <v>72294</v>
      </c>
      <c r="F6" s="10">
        <f>F8-F7-F5-F4</f>
        <v>-16973</v>
      </c>
      <c r="G6" s="10">
        <f t="shared" ref="G6:AH6" si="1">G8-G7-G5-G4</f>
        <v>0</v>
      </c>
      <c r="H6" s="10">
        <f t="shared" si="1"/>
        <v>463042</v>
      </c>
      <c r="I6" s="10">
        <f t="shared" si="1"/>
        <v>2589</v>
      </c>
      <c r="J6" s="10">
        <f t="shared" si="1"/>
        <v>1097</v>
      </c>
      <c r="K6" s="10">
        <f t="shared" si="1"/>
        <v>1097</v>
      </c>
      <c r="L6" s="10">
        <f t="shared" si="1"/>
        <v>0</v>
      </c>
      <c r="M6" s="10">
        <f t="shared" si="1"/>
        <v>11349</v>
      </c>
      <c r="N6" s="10">
        <f t="shared" si="1"/>
        <v>99027</v>
      </c>
      <c r="O6" s="10">
        <f t="shared" si="1"/>
        <v>-2601</v>
      </c>
      <c r="P6" s="10">
        <f t="shared" si="1"/>
        <v>122</v>
      </c>
      <c r="Q6" s="10">
        <f t="shared" si="1"/>
        <v>1528</v>
      </c>
      <c r="R6" s="10">
        <f t="shared" si="1"/>
        <v>30238</v>
      </c>
      <c r="S6" s="10">
        <f t="shared" si="1"/>
        <v>0</v>
      </c>
      <c r="T6" s="10">
        <f t="shared" si="1"/>
        <v>0</v>
      </c>
      <c r="U6" s="10">
        <f t="shared" si="1"/>
        <v>0</v>
      </c>
      <c r="V6" s="10">
        <f t="shared" si="1"/>
        <v>337263</v>
      </c>
      <c r="W6" s="10">
        <f t="shared" si="1"/>
        <v>172820</v>
      </c>
      <c r="X6" s="10">
        <f t="shared" si="1"/>
        <v>113631</v>
      </c>
      <c r="Y6" s="10">
        <f t="shared" si="1"/>
        <v>17649</v>
      </c>
      <c r="Z6" s="10">
        <f t="shared" si="1"/>
        <v>10952</v>
      </c>
      <c r="AA6" s="10">
        <f t="shared" si="1"/>
        <v>-26317</v>
      </c>
      <c r="AB6" s="10">
        <f t="shared" si="1"/>
        <v>0</v>
      </c>
      <c r="AC6" s="10">
        <f t="shared" si="1"/>
        <v>26501</v>
      </c>
      <c r="AD6" s="10">
        <f t="shared" si="1"/>
        <v>0</v>
      </c>
      <c r="AE6" s="10">
        <f t="shared" si="1"/>
        <v>-144248</v>
      </c>
      <c r="AF6" s="124">
        <f t="shared" si="1"/>
        <v>1727</v>
      </c>
      <c r="AG6" s="10">
        <f t="shared" si="1"/>
        <v>-55349</v>
      </c>
      <c r="AH6" s="11">
        <f t="shared" si="1"/>
        <v>1132183</v>
      </c>
    </row>
    <row r="7" spans="1:34" x14ac:dyDescent="0.25">
      <c r="A7" s="2" t="s">
        <v>31</v>
      </c>
      <c r="B7" s="10">
        <v>50388</v>
      </c>
      <c r="C7" s="10">
        <v>161425</v>
      </c>
      <c r="D7" s="10">
        <v>1760746</v>
      </c>
      <c r="E7" s="10">
        <v>2799712</v>
      </c>
      <c r="F7" s="10">
        <v>782149</v>
      </c>
      <c r="G7" s="10">
        <v>295486</v>
      </c>
      <c r="H7" s="10">
        <f>7154+66955+1487395</f>
        <v>1561504</v>
      </c>
      <c r="I7" s="10">
        <v>1247589</v>
      </c>
      <c r="J7" s="10">
        <v>33388</v>
      </c>
      <c r="K7" s="96">
        <v>790837</v>
      </c>
      <c r="L7" s="10">
        <v>716633</v>
      </c>
      <c r="M7" s="10">
        <v>2168890</v>
      </c>
      <c r="N7" s="10">
        <v>3712972</v>
      </c>
      <c r="O7" s="10">
        <f>13792+28013+1471819</f>
        <v>1513624</v>
      </c>
      <c r="P7" s="10">
        <v>114251</v>
      </c>
      <c r="Q7" s="10">
        <f>13786+50710+331390</f>
        <v>395886</v>
      </c>
      <c r="R7" s="10">
        <v>412178</v>
      </c>
      <c r="S7" s="10">
        <v>80942</v>
      </c>
      <c r="T7" s="10">
        <v>4213902</v>
      </c>
      <c r="U7" s="10">
        <v>53410</v>
      </c>
      <c r="V7" s="10">
        <v>186173</v>
      </c>
      <c r="W7" s="10">
        <v>83173</v>
      </c>
      <c r="X7" s="10">
        <f>7489+74439+1818704</f>
        <v>1900632</v>
      </c>
      <c r="Y7" s="10">
        <f>4426+26133+800502</f>
        <v>831061</v>
      </c>
      <c r="Z7" s="10">
        <v>1146442</v>
      </c>
      <c r="AA7" s="10">
        <v>1564661</v>
      </c>
      <c r="AB7" s="10">
        <v>870828</v>
      </c>
      <c r="AC7" s="10">
        <v>2187853</v>
      </c>
      <c r="AD7">
        <f>102033+861465+5508661</f>
        <v>6472159</v>
      </c>
      <c r="AE7" s="10">
        <f>54697+195709+2806519</f>
        <v>3056925</v>
      </c>
      <c r="AF7" s="10">
        <v>4681342</v>
      </c>
      <c r="AG7" s="10">
        <v>560395</v>
      </c>
      <c r="AH7" s="11">
        <f>SUM(B7:AG7)</f>
        <v>46407556</v>
      </c>
    </row>
    <row r="8" spans="1:34" s="8" customFormat="1" x14ac:dyDescent="0.25">
      <c r="A8" s="3" t="s">
        <v>32</v>
      </c>
      <c r="B8" s="11">
        <v>769783</v>
      </c>
      <c r="C8" s="11">
        <v>2546713</v>
      </c>
      <c r="D8" s="11">
        <v>8479779</v>
      </c>
      <c r="E8" s="11">
        <v>21888996</v>
      </c>
      <c r="F8" s="11">
        <v>5907639</v>
      </c>
      <c r="G8" s="11">
        <v>5002048</v>
      </c>
      <c r="H8" s="11">
        <f>92773+434340+10128547</f>
        <v>10655660</v>
      </c>
      <c r="I8" s="11">
        <v>2751285</v>
      </c>
      <c r="J8" s="11">
        <v>542521</v>
      </c>
      <c r="K8" s="11">
        <v>6126658</v>
      </c>
      <c r="L8" s="11">
        <v>7590206</v>
      </c>
      <c r="M8" s="11">
        <v>18095869</v>
      </c>
      <c r="N8" s="11">
        <v>32469000</v>
      </c>
      <c r="O8" s="11">
        <f>237026+233605+14132313</f>
        <v>14602944</v>
      </c>
      <c r="P8" s="11">
        <v>1267918</v>
      </c>
      <c r="Q8" s="11">
        <f>85211+98492+3271293</f>
        <v>3454996</v>
      </c>
      <c r="R8" s="11">
        <v>2494265</v>
      </c>
      <c r="S8" s="11">
        <v>1778471</v>
      </c>
      <c r="T8" s="11">
        <v>33644143.562457502</v>
      </c>
      <c r="U8" s="11">
        <v>304683</v>
      </c>
      <c r="V8" s="11">
        <v>3938420</v>
      </c>
      <c r="W8" s="11">
        <v>934026</v>
      </c>
      <c r="X8" s="11">
        <f>50118+954476+11591426</f>
        <v>12596020</v>
      </c>
      <c r="Y8" s="11">
        <f>65984+186161+6221678</f>
        <v>6473823</v>
      </c>
      <c r="Z8" s="11">
        <v>10990059</v>
      </c>
      <c r="AA8" s="11">
        <v>6732448</v>
      </c>
      <c r="AB8" s="11">
        <v>23318987</v>
      </c>
      <c r="AC8" s="11">
        <v>18490740</v>
      </c>
      <c r="AD8" s="11">
        <f>1257632+7569834+68099953</f>
        <v>76927419</v>
      </c>
      <c r="AE8" s="11">
        <f>625937+2936802+26412253</f>
        <v>29974992</v>
      </c>
      <c r="AF8" s="11">
        <v>36345446</v>
      </c>
      <c r="AG8" s="11">
        <v>3446615</v>
      </c>
      <c r="AH8" s="11">
        <f>SUM(B8:AG8)</f>
        <v>410542572.5624575</v>
      </c>
    </row>
    <row r="9" spans="1:34" x14ac:dyDescent="0.25">
      <c r="A9" s="2" t="s">
        <v>33</v>
      </c>
      <c r="B9" s="10">
        <v>900720</v>
      </c>
      <c r="C9" s="10">
        <v>2412510</v>
      </c>
      <c r="D9" s="10">
        <v>7662001</v>
      </c>
      <c r="E9" s="10">
        <v>13771385</v>
      </c>
      <c r="F9" s="10">
        <v>3234342</v>
      </c>
      <c r="G9" s="10">
        <v>4892456</v>
      </c>
      <c r="H9" s="10">
        <f>58519+198079+6418612</f>
        <v>6675210</v>
      </c>
      <c r="I9" s="10">
        <v>4022154</v>
      </c>
      <c r="J9" s="10">
        <v>567306</v>
      </c>
      <c r="K9" s="10">
        <v>4030383</v>
      </c>
      <c r="L9" s="10">
        <v>5229289</v>
      </c>
      <c r="M9" s="10">
        <v>14887851</v>
      </c>
      <c r="N9" s="10">
        <v>24682750</v>
      </c>
      <c r="O9" s="10">
        <f>151576+215085+11330331</f>
        <v>11696992</v>
      </c>
      <c r="P9" s="10">
        <v>887103</v>
      </c>
      <c r="Q9" s="10">
        <f>66154+12103+1810160</f>
        <v>1888417</v>
      </c>
      <c r="R9" s="10">
        <v>1530959</v>
      </c>
      <c r="S9" s="10">
        <v>1839456</v>
      </c>
      <c r="T9" s="10">
        <v>32325901.318423655</v>
      </c>
      <c r="U9" s="10">
        <v>114559</v>
      </c>
      <c r="V9" s="10">
        <v>2971288</v>
      </c>
      <c r="W9" s="10">
        <v>619788</v>
      </c>
      <c r="X9" s="10">
        <f>35912+355507+7888486</f>
        <v>8279905</v>
      </c>
      <c r="Y9" s="10">
        <f>29277+62820+4430481</f>
        <v>4522578</v>
      </c>
      <c r="Z9" s="10">
        <v>7717483</v>
      </c>
      <c r="AA9" s="10">
        <v>4018619</v>
      </c>
      <c r="AB9" s="10">
        <v>20414096</v>
      </c>
      <c r="AC9" s="10">
        <v>11612863</v>
      </c>
      <c r="AD9" s="10">
        <f>664173+3128244+59086508</f>
        <v>62878925</v>
      </c>
      <c r="AE9" s="10">
        <f>450540+418493+29122551</f>
        <v>29991584</v>
      </c>
      <c r="AF9" s="10">
        <v>31990612</v>
      </c>
      <c r="AG9" s="10">
        <v>1980231</v>
      </c>
      <c r="AH9" s="11">
        <f>SUM(B9:AG9)</f>
        <v>330249716.31842363</v>
      </c>
    </row>
    <row r="10" spans="1:34" x14ac:dyDescent="0.25">
      <c r="A10" s="2" t="s">
        <v>34</v>
      </c>
      <c r="B10" s="10">
        <v>-26715</v>
      </c>
      <c r="C10" s="10">
        <v>-2183</v>
      </c>
      <c r="D10" s="10">
        <v>15294</v>
      </c>
      <c r="E10" s="10">
        <v>-499691</v>
      </c>
      <c r="F10" s="10">
        <v>204658</v>
      </c>
      <c r="G10" s="10">
        <v>104241</v>
      </c>
      <c r="H10" s="10">
        <f>-2815+16098+72089</f>
        <v>85372</v>
      </c>
      <c r="I10" s="10">
        <v>-45621</v>
      </c>
      <c r="J10" s="10">
        <v>30252</v>
      </c>
      <c r="K10" s="10">
        <v>44296</v>
      </c>
      <c r="L10" s="10">
        <v>223137</v>
      </c>
      <c r="M10" s="10">
        <v>-548173</v>
      </c>
      <c r="N10" s="10">
        <v>1037904</v>
      </c>
      <c r="O10" s="10">
        <f>30731-186506+1002080</f>
        <v>846305</v>
      </c>
      <c r="P10" s="10">
        <v>32401</v>
      </c>
      <c r="Q10" s="10">
        <f>16483-12158+233039</f>
        <v>237364</v>
      </c>
      <c r="R10" s="10">
        <v>-120433</v>
      </c>
      <c r="S10" s="10">
        <v>197346</v>
      </c>
      <c r="T10" s="10">
        <v>1820178.6361400001</v>
      </c>
      <c r="U10" s="10">
        <v>3211</v>
      </c>
      <c r="V10" s="10">
        <v>155805</v>
      </c>
      <c r="W10" s="10">
        <v>106467</v>
      </c>
      <c r="X10" s="10">
        <f>7960-57281-8624</f>
        <v>-57945</v>
      </c>
      <c r="Y10" s="10">
        <f>4435-61471+214072</f>
        <v>157036</v>
      </c>
      <c r="Z10" s="10">
        <v>348712</v>
      </c>
      <c r="AA10" s="10">
        <v>176186</v>
      </c>
      <c r="AB10" s="10">
        <v>2664976</v>
      </c>
      <c r="AC10" s="10">
        <v>365220</v>
      </c>
      <c r="AD10" s="10">
        <f>176234+1007406+3811976</f>
        <v>4995616</v>
      </c>
      <c r="AE10" s="10">
        <f>51230+185984+1459501</f>
        <v>1696715</v>
      </c>
      <c r="AF10" s="10">
        <v>1861747</v>
      </c>
      <c r="AG10" s="10">
        <v>303296</v>
      </c>
      <c r="AH10" s="11">
        <f>SUM(B10:AG10)</f>
        <v>16412974.63614</v>
      </c>
    </row>
    <row r="11" spans="1:34" ht="30" x14ac:dyDescent="0.25">
      <c r="A11" s="2" t="s">
        <v>35</v>
      </c>
      <c r="B11" s="10">
        <v>1094585</v>
      </c>
      <c r="C11" s="10">
        <v>1465166</v>
      </c>
      <c r="D11" s="10">
        <v>744611</v>
      </c>
      <c r="E11" s="10">
        <v>4732428</v>
      </c>
      <c r="F11" s="10">
        <v>1854908</v>
      </c>
      <c r="G11" s="10">
        <v>2057851</v>
      </c>
      <c r="H11" s="10">
        <f>24598+122256+2469365</f>
        <v>2616219</v>
      </c>
      <c r="I11" s="10">
        <v>527778</v>
      </c>
      <c r="J11" s="10">
        <v>298400</v>
      </c>
      <c r="K11" s="10">
        <v>2047159</v>
      </c>
      <c r="L11" s="10">
        <v>2076302</v>
      </c>
      <c r="M11" s="10">
        <v>4556676</v>
      </c>
      <c r="N11" s="10">
        <v>6418685</v>
      </c>
      <c r="O11" s="10">
        <f>50094+83063+1816248</f>
        <v>1949405</v>
      </c>
      <c r="P11" s="10">
        <v>424469</v>
      </c>
      <c r="Q11" s="10">
        <f>35708+59599+1111508</f>
        <v>1206815</v>
      </c>
      <c r="R11" s="10">
        <v>950011</v>
      </c>
      <c r="S11" s="10">
        <v>772422</v>
      </c>
      <c r="T11" s="10">
        <v>5870228</v>
      </c>
      <c r="U11" s="10">
        <v>124657</v>
      </c>
      <c r="V11" s="10">
        <v>1772573</v>
      </c>
      <c r="W11" s="10">
        <v>400292</v>
      </c>
      <c r="X11" s="10">
        <f>26127+497093+2981478</f>
        <v>3504698</v>
      </c>
      <c r="Y11" s="10">
        <f>20737+60809+1150733</f>
        <v>1232279</v>
      </c>
      <c r="Z11" s="10">
        <v>2530492</v>
      </c>
      <c r="AA11" s="10">
        <v>857200</v>
      </c>
      <c r="AB11" s="10">
        <v>3510468</v>
      </c>
      <c r="AC11" s="10">
        <v>4152665</v>
      </c>
      <c r="AD11" s="10">
        <f>149242+1035946+9529072</f>
        <v>10714260</v>
      </c>
      <c r="AE11" s="10">
        <f>201568+1545228+5692894</f>
        <v>7439690</v>
      </c>
      <c r="AF11" s="10">
        <v>8349619</v>
      </c>
      <c r="AG11" s="10">
        <v>702626</v>
      </c>
      <c r="AH11" s="11">
        <f>SUM(B11:AG11)</f>
        <v>86955637</v>
      </c>
    </row>
    <row r="12" spans="1:34" x14ac:dyDescent="0.25">
      <c r="A12" s="2" t="s">
        <v>38</v>
      </c>
      <c r="B12" s="10">
        <f>B13-B11-B10-B9</f>
        <v>0</v>
      </c>
      <c r="C12" s="10">
        <f t="shared" ref="C12:AH12" si="2">C13-C11-C10-C9</f>
        <v>0</v>
      </c>
      <c r="D12" s="10">
        <f t="shared" si="2"/>
        <v>-971659</v>
      </c>
      <c r="E12" s="10">
        <f t="shared" si="2"/>
        <v>4832</v>
      </c>
      <c r="F12" s="10">
        <f t="shared" si="2"/>
        <v>36811</v>
      </c>
      <c r="G12" s="10">
        <f t="shared" si="2"/>
        <v>0</v>
      </c>
      <c r="H12" s="10">
        <f t="shared" si="2"/>
        <v>0</v>
      </c>
      <c r="I12" s="10">
        <f t="shared" si="2"/>
        <v>-1012454</v>
      </c>
      <c r="J12" s="10">
        <f t="shared" si="2"/>
        <v>-38362</v>
      </c>
      <c r="K12" s="10">
        <f t="shared" si="2"/>
        <v>0</v>
      </c>
      <c r="L12" s="10">
        <f t="shared" si="2"/>
        <v>192</v>
      </c>
      <c r="M12" s="10">
        <f t="shared" si="2"/>
        <v>0</v>
      </c>
      <c r="N12" s="10">
        <f t="shared" si="2"/>
        <v>0</v>
      </c>
      <c r="O12" s="10">
        <f t="shared" si="2"/>
        <v>0</v>
      </c>
      <c r="P12" s="10">
        <f t="shared" si="2"/>
        <v>246</v>
      </c>
      <c r="Q12" s="10">
        <f t="shared" si="2"/>
        <v>0</v>
      </c>
      <c r="R12" s="10">
        <f t="shared" si="2"/>
        <v>-466</v>
      </c>
      <c r="S12" s="10">
        <f t="shared" si="2"/>
        <v>0</v>
      </c>
      <c r="T12" s="10">
        <f t="shared" si="2"/>
        <v>117262</v>
      </c>
      <c r="U12" s="10">
        <f t="shared" si="2"/>
        <v>52</v>
      </c>
      <c r="V12" s="10">
        <f t="shared" si="2"/>
        <v>0</v>
      </c>
      <c r="W12" s="10">
        <f t="shared" si="2"/>
        <v>0</v>
      </c>
      <c r="X12" s="10">
        <f t="shared" si="2"/>
        <v>-4</v>
      </c>
      <c r="Y12" s="10">
        <f t="shared" si="2"/>
        <v>0</v>
      </c>
      <c r="Z12" s="10">
        <f t="shared" si="2"/>
        <v>0</v>
      </c>
      <c r="AA12" s="10">
        <f t="shared" si="2"/>
        <v>-1</v>
      </c>
      <c r="AB12" s="10">
        <f t="shared" si="2"/>
        <v>0</v>
      </c>
      <c r="AC12" s="10">
        <f t="shared" si="2"/>
        <v>0</v>
      </c>
      <c r="AD12" s="10">
        <f t="shared" si="2"/>
        <v>162790</v>
      </c>
      <c r="AE12" s="10">
        <f t="shared" si="2"/>
        <v>-3002268</v>
      </c>
      <c r="AF12" s="124">
        <f t="shared" si="2"/>
        <v>655489</v>
      </c>
      <c r="AG12" s="10">
        <f t="shared" si="2"/>
        <v>693</v>
      </c>
      <c r="AH12" s="11">
        <f t="shared" si="2"/>
        <v>-4046847</v>
      </c>
    </row>
    <row r="13" spans="1:34" s="8" customFormat="1" x14ac:dyDescent="0.25">
      <c r="A13" s="3" t="s">
        <v>36</v>
      </c>
      <c r="B13" s="11">
        <v>1968590</v>
      </c>
      <c r="C13" s="11">
        <v>3875493</v>
      </c>
      <c r="D13" s="11">
        <v>7450247</v>
      </c>
      <c r="E13" s="11">
        <v>18008954</v>
      </c>
      <c r="F13" s="11">
        <v>5330719</v>
      </c>
      <c r="G13" s="11">
        <v>7054548</v>
      </c>
      <c r="H13" s="11">
        <f>80302+336433+8960066</f>
        <v>9376801</v>
      </c>
      <c r="I13" s="11">
        <v>3491857</v>
      </c>
      <c r="J13" s="11">
        <v>857596</v>
      </c>
      <c r="K13" s="11">
        <v>6121838</v>
      </c>
      <c r="L13" s="11">
        <v>7528920</v>
      </c>
      <c r="M13" s="11">
        <v>18896354</v>
      </c>
      <c r="N13" s="11">
        <v>32139339</v>
      </c>
      <c r="O13" s="11">
        <f>232401+111642+14148659</f>
        <v>14492702</v>
      </c>
      <c r="P13" s="11">
        <v>1344219</v>
      </c>
      <c r="Q13" s="11">
        <f>118345+59544+3154707</f>
        <v>3332596</v>
      </c>
      <c r="R13" s="11">
        <v>2360071</v>
      </c>
      <c r="S13" s="11">
        <v>2809224</v>
      </c>
      <c r="T13" s="11">
        <v>40133569.954563655</v>
      </c>
      <c r="U13" s="11">
        <v>242479</v>
      </c>
      <c r="V13" s="11">
        <v>4899666</v>
      </c>
      <c r="W13" s="11">
        <v>1126547</v>
      </c>
      <c r="X13" s="11">
        <f>69999+795315+10861340</f>
        <v>11726654</v>
      </c>
      <c r="Y13" s="11">
        <f>54449+62158+5795286</f>
        <v>5911893</v>
      </c>
      <c r="Z13" s="11">
        <v>10596687</v>
      </c>
      <c r="AA13" s="11">
        <v>5052004</v>
      </c>
      <c r="AB13" s="11">
        <v>26589540</v>
      </c>
      <c r="AC13" s="11">
        <v>16130748</v>
      </c>
      <c r="AD13" s="11">
        <f>992216+5193263+72566112</f>
        <v>78751591</v>
      </c>
      <c r="AE13" s="11">
        <f>703338+2149705+33272678</f>
        <v>36125721</v>
      </c>
      <c r="AF13" s="11">
        <v>42857467</v>
      </c>
      <c r="AG13" s="11">
        <v>2986846</v>
      </c>
      <c r="AH13" s="11">
        <f>SUM(B13:AG13)</f>
        <v>429571480.95456362</v>
      </c>
    </row>
    <row r="14" spans="1:34" s="8" customFormat="1" x14ac:dyDescent="0.25">
      <c r="A14" s="3" t="s">
        <v>37</v>
      </c>
      <c r="B14" s="11">
        <f>B8-B13</f>
        <v>-1198807</v>
      </c>
      <c r="C14" s="11">
        <f t="shared" ref="C14:AH14" si="3">C8-C13</f>
        <v>-1328780</v>
      </c>
      <c r="D14" s="11">
        <f t="shared" si="3"/>
        <v>1029532</v>
      </c>
      <c r="E14" s="11">
        <f t="shared" si="3"/>
        <v>3880042</v>
      </c>
      <c r="F14" s="11">
        <f t="shared" si="3"/>
        <v>576920</v>
      </c>
      <c r="G14" s="11">
        <f t="shared" si="3"/>
        <v>-2052500</v>
      </c>
      <c r="H14" s="11">
        <f t="shared" si="3"/>
        <v>1278859</v>
      </c>
      <c r="I14" s="11">
        <f t="shared" si="3"/>
        <v>-740572</v>
      </c>
      <c r="J14" s="11">
        <f t="shared" si="3"/>
        <v>-315075</v>
      </c>
      <c r="K14" s="11">
        <f t="shared" si="3"/>
        <v>4820</v>
      </c>
      <c r="L14" s="11">
        <f t="shared" si="3"/>
        <v>61286</v>
      </c>
      <c r="M14" s="11">
        <f t="shared" si="3"/>
        <v>-800485</v>
      </c>
      <c r="N14" s="11">
        <f t="shared" si="3"/>
        <v>329661</v>
      </c>
      <c r="O14" s="11">
        <f t="shared" si="3"/>
        <v>110242</v>
      </c>
      <c r="P14" s="11">
        <f t="shared" si="3"/>
        <v>-76301</v>
      </c>
      <c r="Q14" s="11">
        <f t="shared" si="3"/>
        <v>122400</v>
      </c>
      <c r="R14" s="11">
        <f t="shared" si="3"/>
        <v>134194</v>
      </c>
      <c r="S14" s="11">
        <f t="shared" si="3"/>
        <v>-1030753</v>
      </c>
      <c r="T14" s="11">
        <f t="shared" si="3"/>
        <v>-6489426.3921061531</v>
      </c>
      <c r="U14" s="11">
        <f t="shared" si="3"/>
        <v>62204</v>
      </c>
      <c r="V14" s="11">
        <f t="shared" si="3"/>
        <v>-961246</v>
      </c>
      <c r="W14" s="11">
        <f t="shared" si="3"/>
        <v>-192521</v>
      </c>
      <c r="X14" s="11">
        <f t="shared" si="3"/>
        <v>869366</v>
      </c>
      <c r="Y14" s="11">
        <f t="shared" si="3"/>
        <v>561930</v>
      </c>
      <c r="Z14" s="11">
        <f t="shared" si="3"/>
        <v>393372</v>
      </c>
      <c r="AA14" s="11">
        <f t="shared" si="3"/>
        <v>1680444</v>
      </c>
      <c r="AB14" s="11">
        <f t="shared" si="3"/>
        <v>-3270553</v>
      </c>
      <c r="AC14" s="11">
        <f t="shared" si="3"/>
        <v>2359992</v>
      </c>
      <c r="AD14" s="11">
        <f t="shared" si="3"/>
        <v>-1824172</v>
      </c>
      <c r="AE14" s="11">
        <f t="shared" si="3"/>
        <v>-6150729</v>
      </c>
      <c r="AF14" s="11">
        <f t="shared" si="3"/>
        <v>-6512021</v>
      </c>
      <c r="AG14" s="11">
        <f t="shared" si="3"/>
        <v>459769</v>
      </c>
      <c r="AH14" s="11">
        <f t="shared" si="3"/>
        <v>-19028908.392106116</v>
      </c>
    </row>
  </sheetData>
  <pageMargins left="0.7" right="0.7" top="0.75" bottom="0.75" header="0.3" footer="0.3"/>
  <pageSetup paperSize="9" orientation="portrait" r:id="rId1"/>
  <ignoredErrors>
    <ignoredError sqref="AH12 AH6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8.85546875" customWidth="1"/>
    <col min="2" max="17" width="16" customWidth="1"/>
    <col min="18" max="18" width="16" style="7" customWidth="1"/>
    <col min="19" max="33" width="16" customWidth="1"/>
    <col min="34" max="34" width="16" style="4" customWidth="1"/>
  </cols>
  <sheetData>
    <row r="1" spans="1:34" ht="18.75" x14ac:dyDescent="0.3">
      <c r="A1" s="13" t="s">
        <v>303</v>
      </c>
    </row>
    <row r="2" spans="1:34" x14ac:dyDescent="0.25">
      <c r="A2" s="12" t="s">
        <v>40</v>
      </c>
    </row>
    <row r="3" spans="1:34" x14ac:dyDescent="0.25">
      <c r="A3" s="1" t="s">
        <v>0</v>
      </c>
      <c r="B3" s="89" t="s">
        <v>1</v>
      </c>
      <c r="C3" s="89" t="s">
        <v>290</v>
      </c>
      <c r="D3" s="89" t="s">
        <v>3</v>
      </c>
      <c r="E3" s="89" t="s">
        <v>4</v>
      </c>
      <c r="F3" s="89" t="s">
        <v>5</v>
      </c>
      <c r="G3" s="89" t="s">
        <v>291</v>
      </c>
      <c r="H3" s="89" t="s">
        <v>292</v>
      </c>
      <c r="I3" s="89" t="s">
        <v>8</v>
      </c>
      <c r="J3" s="89" t="s">
        <v>7</v>
      </c>
      <c r="K3" s="89" t="s">
        <v>9</v>
      </c>
      <c r="L3" s="89" t="s">
        <v>288</v>
      </c>
      <c r="M3" s="89" t="s">
        <v>11</v>
      </c>
      <c r="N3" s="89" t="s">
        <v>12</v>
      </c>
      <c r="O3" s="89" t="s">
        <v>13</v>
      </c>
      <c r="P3" s="89" t="s">
        <v>14</v>
      </c>
      <c r="Q3" s="89" t="s">
        <v>15</v>
      </c>
      <c r="R3" s="99" t="s">
        <v>16</v>
      </c>
      <c r="S3" s="89" t="s">
        <v>293</v>
      </c>
      <c r="T3" s="92" t="s">
        <v>17</v>
      </c>
      <c r="U3" s="92" t="s">
        <v>294</v>
      </c>
      <c r="V3" s="92" t="s">
        <v>313</v>
      </c>
      <c r="W3" s="89" t="s">
        <v>289</v>
      </c>
      <c r="X3" s="89" t="s">
        <v>295</v>
      </c>
      <c r="Y3" s="89" t="s">
        <v>20</v>
      </c>
      <c r="Z3" s="89" t="s">
        <v>21</v>
      </c>
      <c r="AA3" s="89" t="s">
        <v>22</v>
      </c>
      <c r="AB3" s="89" t="s">
        <v>23</v>
      </c>
      <c r="AC3" s="89" t="s">
        <v>24</v>
      </c>
      <c r="AD3" s="88" t="s">
        <v>296</v>
      </c>
      <c r="AE3" s="88" t="s">
        <v>297</v>
      </c>
      <c r="AF3" s="88" t="s">
        <v>25</v>
      </c>
      <c r="AG3" s="89" t="s">
        <v>26</v>
      </c>
      <c r="AH3" s="21" t="s">
        <v>27</v>
      </c>
    </row>
    <row r="4" spans="1:34" x14ac:dyDescent="0.25">
      <c r="A4" s="14" t="s">
        <v>49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10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9"/>
    </row>
    <row r="5" spans="1:34" x14ac:dyDescent="0.25">
      <c r="A5" s="15" t="s">
        <v>50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10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9">
        <f t="shared" ref="AH5:AH12" si="0">SUM(B5:AG5)</f>
        <v>0</v>
      </c>
    </row>
    <row r="6" spans="1:34" x14ac:dyDescent="0.25">
      <c r="A6" s="15" t="s">
        <v>51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10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9">
        <f t="shared" si="0"/>
        <v>0</v>
      </c>
    </row>
    <row r="7" spans="1:34" x14ac:dyDescent="0.25">
      <c r="A7" s="15" t="s">
        <v>52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10"/>
      <c r="S7" s="38"/>
      <c r="T7" s="10">
        <v>229189</v>
      </c>
      <c r="U7" s="10"/>
      <c r="V7" s="10"/>
      <c r="W7" s="10"/>
      <c r="X7" s="38"/>
      <c r="Y7" s="38"/>
      <c r="Z7" s="38"/>
      <c r="AA7" s="38"/>
      <c r="AB7" s="38"/>
      <c r="AC7" s="38"/>
      <c r="AD7" s="38">
        <v>2773555</v>
      </c>
      <c r="AE7" s="38"/>
      <c r="AF7" s="38">
        <v>1436418</v>
      </c>
      <c r="AG7" s="38"/>
      <c r="AH7" s="39">
        <f t="shared" si="0"/>
        <v>4439162</v>
      </c>
    </row>
    <row r="8" spans="1:34" x14ac:dyDescent="0.25">
      <c r="A8" s="15" t="s">
        <v>53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10"/>
      <c r="S8" s="38"/>
      <c r="T8" s="10"/>
      <c r="U8" s="10"/>
      <c r="V8" s="10"/>
      <c r="W8" s="10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9">
        <f t="shared" si="0"/>
        <v>0</v>
      </c>
    </row>
    <row r="9" spans="1:34" x14ac:dyDescent="0.25">
      <c r="A9" s="15" t="s">
        <v>54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10"/>
      <c r="S9" s="38"/>
      <c r="T9" s="10"/>
      <c r="U9" s="10"/>
      <c r="V9" s="10"/>
      <c r="W9" s="10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9">
        <f t="shared" si="0"/>
        <v>0</v>
      </c>
    </row>
    <row r="10" spans="1:34" x14ac:dyDescent="0.25">
      <c r="A10" s="15" t="s">
        <v>55</v>
      </c>
      <c r="B10" s="38"/>
      <c r="C10" s="38"/>
      <c r="D10" s="38">
        <v>148031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10"/>
      <c r="S10" s="38"/>
      <c r="T10" s="10"/>
      <c r="U10" s="10"/>
      <c r="V10" s="10"/>
      <c r="W10" s="10"/>
      <c r="X10" s="38"/>
      <c r="Y10" s="38"/>
      <c r="Z10" s="38"/>
      <c r="AA10" s="38"/>
      <c r="AB10" s="38"/>
      <c r="AC10" s="38"/>
      <c r="AD10" s="38">
        <v>453102</v>
      </c>
      <c r="AE10" s="38">
        <f>1153844+219352</f>
        <v>1373196</v>
      </c>
      <c r="AF10" s="38">
        <v>383202</v>
      </c>
      <c r="AG10" s="38"/>
      <c r="AH10" s="39">
        <f t="shared" si="0"/>
        <v>2357531</v>
      </c>
    </row>
    <row r="11" spans="1:34" x14ac:dyDescent="0.25">
      <c r="A11" s="15" t="s">
        <v>56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10">
        <v>26572</v>
      </c>
      <c r="S11" s="38"/>
      <c r="T11" s="10">
        <v>117628</v>
      </c>
      <c r="U11" s="10"/>
      <c r="V11" s="10"/>
      <c r="W11" s="10"/>
      <c r="X11" s="38"/>
      <c r="Y11" s="38"/>
      <c r="Z11" s="38"/>
      <c r="AA11" s="38"/>
      <c r="AB11" s="38"/>
      <c r="AC11" s="38"/>
      <c r="AD11" s="38"/>
      <c r="AE11" s="38">
        <v>64299</v>
      </c>
      <c r="AF11" s="38">
        <v>117020</v>
      </c>
      <c r="AG11" s="38"/>
      <c r="AH11" s="39">
        <f t="shared" si="0"/>
        <v>325519</v>
      </c>
    </row>
    <row r="12" spans="1:34" s="4" customFormat="1" x14ac:dyDescent="0.25">
      <c r="A12" s="16" t="s">
        <v>48</v>
      </c>
      <c r="B12" s="39">
        <f>SUM(B5:B11)</f>
        <v>0</v>
      </c>
      <c r="C12" s="39">
        <f t="shared" ref="C12:AG12" si="1">SUM(C5:C11)</f>
        <v>0</v>
      </c>
      <c r="D12" s="39">
        <f t="shared" si="1"/>
        <v>148031</v>
      </c>
      <c r="E12" s="39">
        <f t="shared" si="1"/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  <c r="J12" s="39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39">
        <f t="shared" si="1"/>
        <v>0</v>
      </c>
      <c r="O12" s="39">
        <f t="shared" si="1"/>
        <v>0</v>
      </c>
      <c r="P12" s="39">
        <f t="shared" si="1"/>
        <v>0</v>
      </c>
      <c r="Q12" s="39">
        <f t="shared" si="1"/>
        <v>0</v>
      </c>
      <c r="R12" s="11">
        <f t="shared" si="1"/>
        <v>26572</v>
      </c>
      <c r="S12" s="39">
        <f t="shared" si="1"/>
        <v>0</v>
      </c>
      <c r="T12" s="39">
        <f t="shared" si="1"/>
        <v>346817</v>
      </c>
      <c r="U12" s="39">
        <f t="shared" si="1"/>
        <v>0</v>
      </c>
      <c r="V12" s="39">
        <f t="shared" si="1"/>
        <v>0</v>
      </c>
      <c r="W12" s="39">
        <f t="shared" si="1"/>
        <v>0</v>
      </c>
      <c r="X12" s="39">
        <f t="shared" si="1"/>
        <v>0</v>
      </c>
      <c r="Y12" s="39">
        <f t="shared" si="1"/>
        <v>0</v>
      </c>
      <c r="Z12" s="39">
        <f t="shared" si="1"/>
        <v>0</v>
      </c>
      <c r="AA12" s="39">
        <f t="shared" si="1"/>
        <v>0</v>
      </c>
      <c r="AB12" s="39">
        <f t="shared" si="1"/>
        <v>0</v>
      </c>
      <c r="AC12" s="39">
        <f t="shared" si="1"/>
        <v>0</v>
      </c>
      <c r="AD12" s="39">
        <f t="shared" si="1"/>
        <v>3226657</v>
      </c>
      <c r="AE12" s="39">
        <f t="shared" si="1"/>
        <v>1437495</v>
      </c>
      <c r="AF12" s="39">
        <f t="shared" si="1"/>
        <v>1936640</v>
      </c>
      <c r="AG12" s="39">
        <f t="shared" si="1"/>
        <v>0</v>
      </c>
      <c r="AH12" s="39">
        <f t="shared" si="0"/>
        <v>7122212</v>
      </c>
    </row>
    <row r="13" spans="1:34" x14ac:dyDescent="0.25">
      <c r="A13" s="14" t="s">
        <v>57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10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9"/>
    </row>
    <row r="14" spans="1:34" x14ac:dyDescent="0.25">
      <c r="A14" s="15" t="s">
        <v>58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10"/>
      <c r="S14" s="38"/>
      <c r="T14" s="10">
        <v>53398</v>
      </c>
      <c r="U14" s="10"/>
      <c r="V14" s="10"/>
      <c r="W14" s="10"/>
      <c r="X14" s="38"/>
      <c r="Y14" s="38"/>
      <c r="Z14" s="38"/>
      <c r="AA14" s="38"/>
      <c r="AB14" s="38"/>
      <c r="AC14" s="38"/>
      <c r="AD14" s="38">
        <v>222435</v>
      </c>
      <c r="AE14" s="38">
        <v>139468</v>
      </c>
      <c r="AF14" s="38">
        <v>383202</v>
      </c>
      <c r="AG14" s="38"/>
      <c r="AH14" s="39">
        <f t="shared" ref="AH14:AH19" si="2">SUM(B14:AG14)</f>
        <v>798503</v>
      </c>
    </row>
    <row r="15" spans="1:34" x14ac:dyDescent="0.25">
      <c r="A15" s="15" t="s">
        <v>59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10"/>
      <c r="S15" s="38"/>
      <c r="T15" s="10"/>
      <c r="U15" s="10"/>
      <c r="V15" s="10"/>
      <c r="W15" s="10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9">
        <f t="shared" si="2"/>
        <v>0</v>
      </c>
    </row>
    <row r="16" spans="1:34" x14ac:dyDescent="0.25">
      <c r="A16" s="15" t="s">
        <v>60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10"/>
      <c r="S16" s="38"/>
      <c r="T16" s="10"/>
      <c r="U16" s="10"/>
      <c r="V16" s="10"/>
      <c r="W16" s="10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9">
        <f t="shared" si="2"/>
        <v>0</v>
      </c>
    </row>
    <row r="17" spans="1:34" x14ac:dyDescent="0.25">
      <c r="A17" s="15" t="s">
        <v>61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10"/>
      <c r="S17" s="38"/>
      <c r="T17" s="10">
        <v>292780</v>
      </c>
      <c r="U17" s="10"/>
      <c r="V17" s="10"/>
      <c r="W17" s="10"/>
      <c r="X17" s="38"/>
      <c r="Y17" s="38"/>
      <c r="Z17" s="38"/>
      <c r="AA17" s="38"/>
      <c r="AB17" s="38"/>
      <c r="AC17" s="38"/>
      <c r="AD17" s="38"/>
      <c r="AE17" s="38">
        <v>144183</v>
      </c>
      <c r="AF17" s="38">
        <v>162436</v>
      </c>
      <c r="AG17" s="38"/>
      <c r="AH17" s="39">
        <f t="shared" si="2"/>
        <v>599399</v>
      </c>
    </row>
    <row r="18" spans="1:34" x14ac:dyDescent="0.25">
      <c r="A18" s="15" t="s">
        <v>62</v>
      </c>
      <c r="B18" s="38"/>
      <c r="C18" s="38"/>
      <c r="D18" s="38">
        <v>148031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10">
        <v>26572</v>
      </c>
      <c r="S18" s="38"/>
      <c r="T18" s="10">
        <v>639</v>
      </c>
      <c r="U18" s="10"/>
      <c r="V18" s="10"/>
      <c r="W18" s="10"/>
      <c r="X18" s="38"/>
      <c r="Y18" s="38"/>
      <c r="Z18" s="38"/>
      <c r="AA18" s="38"/>
      <c r="AB18" s="38"/>
      <c r="AC18" s="38"/>
      <c r="AD18" s="38">
        <v>3004222</v>
      </c>
      <c r="AE18" s="38">
        <v>1153844</v>
      </c>
      <c r="AF18" s="38">
        <v>1391002</v>
      </c>
      <c r="AG18" s="38"/>
      <c r="AH18" s="39">
        <f t="shared" si="2"/>
        <v>5724310</v>
      </c>
    </row>
    <row r="19" spans="1:34" s="4" customFormat="1" x14ac:dyDescent="0.25">
      <c r="A19" s="16" t="s">
        <v>48</v>
      </c>
      <c r="B19" s="39">
        <f>SUM(B14:B18)</f>
        <v>0</v>
      </c>
      <c r="C19" s="39">
        <f t="shared" ref="C19:AG19" si="3">SUM(C14:C18)</f>
        <v>0</v>
      </c>
      <c r="D19" s="39">
        <f t="shared" si="3"/>
        <v>148031</v>
      </c>
      <c r="E19" s="39">
        <f t="shared" si="3"/>
        <v>0</v>
      </c>
      <c r="F19" s="39">
        <f t="shared" si="3"/>
        <v>0</v>
      </c>
      <c r="G19" s="39">
        <f t="shared" si="3"/>
        <v>0</v>
      </c>
      <c r="H19" s="39">
        <f t="shared" si="3"/>
        <v>0</v>
      </c>
      <c r="I19" s="39">
        <f t="shared" si="3"/>
        <v>0</v>
      </c>
      <c r="J19" s="39">
        <f t="shared" si="3"/>
        <v>0</v>
      </c>
      <c r="K19" s="39">
        <f t="shared" si="3"/>
        <v>0</v>
      </c>
      <c r="L19" s="39">
        <f t="shared" si="3"/>
        <v>0</v>
      </c>
      <c r="M19" s="39">
        <f t="shared" si="3"/>
        <v>0</v>
      </c>
      <c r="N19" s="39">
        <f t="shared" si="3"/>
        <v>0</v>
      </c>
      <c r="O19" s="39">
        <f t="shared" si="3"/>
        <v>0</v>
      </c>
      <c r="P19" s="39">
        <f t="shared" si="3"/>
        <v>0</v>
      </c>
      <c r="Q19" s="39">
        <f t="shared" si="3"/>
        <v>0</v>
      </c>
      <c r="R19" s="11">
        <f t="shared" si="3"/>
        <v>26572</v>
      </c>
      <c r="S19" s="39">
        <f t="shared" si="3"/>
        <v>0</v>
      </c>
      <c r="T19" s="39">
        <f t="shared" si="3"/>
        <v>346817</v>
      </c>
      <c r="U19" s="39">
        <f t="shared" si="3"/>
        <v>0</v>
      </c>
      <c r="V19" s="39">
        <f t="shared" si="3"/>
        <v>0</v>
      </c>
      <c r="W19" s="39">
        <f t="shared" si="3"/>
        <v>0</v>
      </c>
      <c r="X19" s="39">
        <f t="shared" si="3"/>
        <v>0</v>
      </c>
      <c r="Y19" s="39">
        <f t="shared" si="3"/>
        <v>0</v>
      </c>
      <c r="Z19" s="39">
        <f t="shared" si="3"/>
        <v>0</v>
      </c>
      <c r="AA19" s="39">
        <f t="shared" si="3"/>
        <v>0</v>
      </c>
      <c r="AB19" s="39">
        <f t="shared" si="3"/>
        <v>0</v>
      </c>
      <c r="AC19" s="39">
        <f t="shared" si="3"/>
        <v>0</v>
      </c>
      <c r="AD19" s="39">
        <f t="shared" si="3"/>
        <v>3226657</v>
      </c>
      <c r="AE19" s="39">
        <f t="shared" si="3"/>
        <v>1437495</v>
      </c>
      <c r="AF19" s="39">
        <f t="shared" si="3"/>
        <v>1936640</v>
      </c>
      <c r="AG19" s="39">
        <f t="shared" si="3"/>
        <v>0</v>
      </c>
      <c r="AH19" s="39">
        <f t="shared" si="2"/>
        <v>7122212</v>
      </c>
    </row>
    <row r="20" spans="1:34" x14ac:dyDescent="0.25">
      <c r="A20" s="14" t="s">
        <v>63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10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9"/>
    </row>
    <row r="21" spans="1:34" x14ac:dyDescent="0.25">
      <c r="A21" s="15" t="s">
        <v>64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10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9">
        <f t="shared" ref="AH21:AH28" si="4">SUM(B21:AG21)</f>
        <v>0</v>
      </c>
    </row>
    <row r="22" spans="1:34" x14ac:dyDescent="0.25">
      <c r="A22" s="15" t="s">
        <v>52</v>
      </c>
      <c r="B22" s="38"/>
      <c r="C22" s="38"/>
      <c r="D22" s="38">
        <v>148031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10">
        <v>26572</v>
      </c>
      <c r="S22" s="38"/>
      <c r="T22" s="10">
        <v>57071</v>
      </c>
      <c r="U22" s="10"/>
      <c r="V22" s="10"/>
      <c r="W22" s="10"/>
      <c r="X22" s="38"/>
      <c r="Y22" s="38"/>
      <c r="Z22" s="38"/>
      <c r="AA22" s="38"/>
      <c r="AB22" s="38"/>
      <c r="AC22" s="38"/>
      <c r="AD22" s="38"/>
      <c r="AE22" s="38">
        <v>1294935</v>
      </c>
      <c r="AF22" s="38">
        <v>1765832</v>
      </c>
      <c r="AG22" s="38"/>
      <c r="AH22" s="39">
        <f t="shared" si="4"/>
        <v>3292441</v>
      </c>
    </row>
    <row r="23" spans="1:34" x14ac:dyDescent="0.25">
      <c r="A23" s="15" t="s">
        <v>53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10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>
        <v>3226657</v>
      </c>
      <c r="AE23" s="38"/>
      <c r="AF23" s="38">
        <v>170808</v>
      </c>
      <c r="AG23" s="38"/>
      <c r="AH23" s="39">
        <f t="shared" si="4"/>
        <v>3397465</v>
      </c>
    </row>
    <row r="24" spans="1:34" x14ac:dyDescent="0.25">
      <c r="A24" s="15" t="s">
        <v>65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10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9">
        <f t="shared" si="4"/>
        <v>0</v>
      </c>
    </row>
    <row r="25" spans="1:34" x14ac:dyDescent="0.25">
      <c r="A25" s="15" t="s">
        <v>52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10"/>
      <c r="S25" s="38"/>
      <c r="T25" s="38">
        <v>289746</v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9">
        <f t="shared" si="4"/>
        <v>289746</v>
      </c>
    </row>
    <row r="26" spans="1:34" x14ac:dyDescent="0.25">
      <c r="A26" s="15" t="s">
        <v>53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10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9">
        <f t="shared" si="4"/>
        <v>0</v>
      </c>
    </row>
    <row r="27" spans="1:34" x14ac:dyDescent="0.25">
      <c r="A27" s="15" t="s">
        <v>66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10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>
        <v>142560</v>
      </c>
      <c r="AF27" s="38"/>
      <c r="AG27" s="38"/>
      <c r="AH27" s="39">
        <f t="shared" si="4"/>
        <v>142560</v>
      </c>
    </row>
    <row r="28" spans="1:34" s="4" customFormat="1" x14ac:dyDescent="0.25">
      <c r="A28" s="16" t="s">
        <v>48</v>
      </c>
      <c r="B28" s="39">
        <f>SUM(B21:B27)</f>
        <v>0</v>
      </c>
      <c r="C28" s="39">
        <f t="shared" ref="C28:AG28" si="5">SUM(C21:C27)</f>
        <v>0</v>
      </c>
      <c r="D28" s="39">
        <f t="shared" si="5"/>
        <v>148031</v>
      </c>
      <c r="E28" s="39">
        <f t="shared" si="5"/>
        <v>0</v>
      </c>
      <c r="F28" s="39">
        <f t="shared" si="5"/>
        <v>0</v>
      </c>
      <c r="G28" s="39">
        <f t="shared" si="5"/>
        <v>0</v>
      </c>
      <c r="H28" s="39">
        <f t="shared" si="5"/>
        <v>0</v>
      </c>
      <c r="I28" s="39">
        <f t="shared" si="5"/>
        <v>0</v>
      </c>
      <c r="J28" s="39">
        <f t="shared" si="5"/>
        <v>0</v>
      </c>
      <c r="K28" s="39">
        <f t="shared" si="5"/>
        <v>0</v>
      </c>
      <c r="L28" s="39">
        <f t="shared" si="5"/>
        <v>0</v>
      </c>
      <c r="M28" s="39">
        <f t="shared" si="5"/>
        <v>0</v>
      </c>
      <c r="N28" s="39">
        <f t="shared" si="5"/>
        <v>0</v>
      </c>
      <c r="O28" s="39">
        <f t="shared" si="5"/>
        <v>0</v>
      </c>
      <c r="P28" s="39">
        <f t="shared" si="5"/>
        <v>0</v>
      </c>
      <c r="Q28" s="39">
        <f t="shared" si="5"/>
        <v>0</v>
      </c>
      <c r="R28" s="11">
        <f t="shared" si="5"/>
        <v>26572</v>
      </c>
      <c r="S28" s="39">
        <f t="shared" si="5"/>
        <v>0</v>
      </c>
      <c r="T28" s="39">
        <f t="shared" si="5"/>
        <v>346817</v>
      </c>
      <c r="U28" s="39">
        <f t="shared" si="5"/>
        <v>0</v>
      </c>
      <c r="V28" s="39">
        <f t="shared" si="5"/>
        <v>0</v>
      </c>
      <c r="W28" s="39">
        <f t="shared" si="5"/>
        <v>0</v>
      </c>
      <c r="X28" s="39">
        <f t="shared" si="5"/>
        <v>0</v>
      </c>
      <c r="Y28" s="39">
        <f t="shared" si="5"/>
        <v>0</v>
      </c>
      <c r="Z28" s="39">
        <f t="shared" si="5"/>
        <v>0</v>
      </c>
      <c r="AA28" s="39">
        <f t="shared" si="5"/>
        <v>0</v>
      </c>
      <c r="AB28" s="39">
        <f t="shared" si="5"/>
        <v>0</v>
      </c>
      <c r="AC28" s="39">
        <f t="shared" si="5"/>
        <v>0</v>
      </c>
      <c r="AD28" s="39">
        <f t="shared" si="5"/>
        <v>3226657</v>
      </c>
      <c r="AE28" s="39">
        <f t="shared" si="5"/>
        <v>1437495</v>
      </c>
      <c r="AF28" s="39">
        <f t="shared" si="5"/>
        <v>1936640</v>
      </c>
      <c r="AG28" s="39">
        <f t="shared" si="5"/>
        <v>0</v>
      </c>
      <c r="AH28" s="39">
        <f t="shared" si="4"/>
        <v>7122212</v>
      </c>
    </row>
    <row r="29" spans="1:34" x14ac:dyDescent="0.25">
      <c r="A29" s="14" t="s">
        <v>67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10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9"/>
    </row>
    <row r="30" spans="1:34" x14ac:dyDescent="0.25">
      <c r="A30" s="15" t="s">
        <v>68</v>
      </c>
      <c r="B30" s="38"/>
      <c r="C30" s="38"/>
      <c r="D30" s="38">
        <v>13190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10"/>
      <c r="S30" s="38"/>
      <c r="T30" s="10">
        <v>7168</v>
      </c>
      <c r="U30" s="10"/>
      <c r="V30" s="10"/>
      <c r="W30" s="10"/>
      <c r="X30" s="38"/>
      <c r="Y30" s="38"/>
      <c r="Z30" s="38"/>
      <c r="AA30" s="38"/>
      <c r="AB30" s="38"/>
      <c r="AC30" s="38"/>
      <c r="AD30" s="38">
        <v>47661</v>
      </c>
      <c r="AE30" s="38"/>
      <c r="AF30" s="38">
        <v>90479</v>
      </c>
      <c r="AG30" s="38"/>
      <c r="AH30" s="39">
        <f>SUM(B30:AG30)</f>
        <v>158498</v>
      </c>
    </row>
    <row r="31" spans="1:34" x14ac:dyDescent="0.25">
      <c r="A31" s="15" t="s">
        <v>69</v>
      </c>
      <c r="B31" s="38"/>
      <c r="C31" s="38"/>
      <c r="D31" s="38">
        <v>134841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10">
        <v>26572</v>
      </c>
      <c r="S31" s="38"/>
      <c r="T31" s="10">
        <v>339649</v>
      </c>
      <c r="U31" s="10"/>
      <c r="V31" s="10"/>
      <c r="W31" s="10"/>
      <c r="X31" s="38"/>
      <c r="Y31" s="38"/>
      <c r="Z31" s="38"/>
      <c r="AA31" s="38"/>
      <c r="AB31" s="38"/>
      <c r="AC31" s="38"/>
      <c r="AD31" s="38">
        <v>3178997</v>
      </c>
      <c r="AE31" s="38"/>
      <c r="AF31" s="38">
        <v>1846161</v>
      </c>
      <c r="AG31" s="38"/>
      <c r="AH31" s="39">
        <f>SUM(B31:AG31)</f>
        <v>5526220</v>
      </c>
    </row>
    <row r="32" spans="1:34" s="4" customFormat="1" x14ac:dyDescent="0.25">
      <c r="A32" s="16" t="s">
        <v>48</v>
      </c>
      <c r="B32" s="39">
        <f>SUM(B30:B31)</f>
        <v>0</v>
      </c>
      <c r="C32" s="39">
        <f t="shared" ref="C32:AG32" si="6">SUM(C30:C31)</f>
        <v>0</v>
      </c>
      <c r="D32" s="39">
        <f t="shared" si="6"/>
        <v>148031</v>
      </c>
      <c r="E32" s="39">
        <f t="shared" si="6"/>
        <v>0</v>
      </c>
      <c r="F32" s="39">
        <f t="shared" si="6"/>
        <v>0</v>
      </c>
      <c r="G32" s="39">
        <f t="shared" si="6"/>
        <v>0</v>
      </c>
      <c r="H32" s="39">
        <f t="shared" si="6"/>
        <v>0</v>
      </c>
      <c r="I32" s="39">
        <f t="shared" si="6"/>
        <v>0</v>
      </c>
      <c r="J32" s="39">
        <f t="shared" si="6"/>
        <v>0</v>
      </c>
      <c r="K32" s="39">
        <f t="shared" si="6"/>
        <v>0</v>
      </c>
      <c r="L32" s="39">
        <f t="shared" si="6"/>
        <v>0</v>
      </c>
      <c r="M32" s="39">
        <f t="shared" si="6"/>
        <v>0</v>
      </c>
      <c r="N32" s="39">
        <f t="shared" si="6"/>
        <v>0</v>
      </c>
      <c r="O32" s="39">
        <f t="shared" si="6"/>
        <v>0</v>
      </c>
      <c r="P32" s="39">
        <f t="shared" si="6"/>
        <v>0</v>
      </c>
      <c r="Q32" s="39">
        <f t="shared" si="6"/>
        <v>0</v>
      </c>
      <c r="R32" s="11">
        <f t="shared" si="6"/>
        <v>26572</v>
      </c>
      <c r="S32" s="39">
        <f t="shared" si="6"/>
        <v>0</v>
      </c>
      <c r="T32" s="39">
        <f t="shared" si="6"/>
        <v>346817</v>
      </c>
      <c r="U32" s="39">
        <f t="shared" si="6"/>
        <v>0</v>
      </c>
      <c r="V32" s="39">
        <f t="shared" si="6"/>
        <v>0</v>
      </c>
      <c r="W32" s="39">
        <f t="shared" si="6"/>
        <v>0</v>
      </c>
      <c r="X32" s="39">
        <f t="shared" si="6"/>
        <v>0</v>
      </c>
      <c r="Y32" s="39">
        <f t="shared" si="6"/>
        <v>0</v>
      </c>
      <c r="Z32" s="39">
        <f t="shared" si="6"/>
        <v>0</v>
      </c>
      <c r="AA32" s="39">
        <f t="shared" si="6"/>
        <v>0</v>
      </c>
      <c r="AB32" s="39">
        <f t="shared" si="6"/>
        <v>0</v>
      </c>
      <c r="AC32" s="39">
        <f t="shared" si="6"/>
        <v>0</v>
      </c>
      <c r="AD32" s="39">
        <f t="shared" si="6"/>
        <v>3226658</v>
      </c>
      <c r="AE32" s="39">
        <f t="shared" si="6"/>
        <v>0</v>
      </c>
      <c r="AF32" s="39">
        <f t="shared" si="6"/>
        <v>1936640</v>
      </c>
      <c r="AG32" s="39">
        <f t="shared" si="6"/>
        <v>0</v>
      </c>
      <c r="AH32" s="39">
        <f>SUM(B32:AG32)</f>
        <v>5684718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" customWidth="1"/>
    <col min="2" max="33" width="16" style="7" customWidth="1"/>
    <col min="34" max="34" width="16" style="8" customWidth="1"/>
    <col min="35" max="16384" width="9.140625" style="7"/>
  </cols>
  <sheetData>
    <row r="1" spans="1:34" ht="18.75" x14ac:dyDescent="0.3">
      <c r="A1" s="17" t="s">
        <v>302</v>
      </c>
    </row>
    <row r="2" spans="1:34" x14ac:dyDescent="0.25">
      <c r="A2" s="6" t="s">
        <v>40</v>
      </c>
    </row>
    <row r="3" spans="1:34" x14ac:dyDescent="0.25">
      <c r="A3" s="1" t="s">
        <v>0</v>
      </c>
      <c r="B3" s="89" t="s">
        <v>1</v>
      </c>
      <c r="C3" s="89" t="s">
        <v>290</v>
      </c>
      <c r="D3" s="89" t="s">
        <v>3</v>
      </c>
      <c r="E3" s="89" t="s">
        <v>4</v>
      </c>
      <c r="F3" s="89" t="s">
        <v>5</v>
      </c>
      <c r="G3" s="89" t="s">
        <v>291</v>
      </c>
      <c r="H3" s="89" t="s">
        <v>292</v>
      </c>
      <c r="I3" s="89" t="s">
        <v>8</v>
      </c>
      <c r="J3" s="89" t="s">
        <v>7</v>
      </c>
      <c r="K3" s="89" t="s">
        <v>9</v>
      </c>
      <c r="L3" s="89" t="s">
        <v>288</v>
      </c>
      <c r="M3" s="89" t="s">
        <v>11</v>
      </c>
      <c r="N3" s="89" t="s">
        <v>12</v>
      </c>
      <c r="O3" s="89" t="s">
        <v>13</v>
      </c>
      <c r="P3" s="89" t="s">
        <v>14</v>
      </c>
      <c r="Q3" s="89" t="s">
        <v>15</v>
      </c>
      <c r="R3" s="89" t="s">
        <v>16</v>
      </c>
      <c r="S3" s="89" t="s">
        <v>293</v>
      </c>
      <c r="T3" s="92" t="s">
        <v>17</v>
      </c>
      <c r="U3" s="92" t="s">
        <v>294</v>
      </c>
      <c r="V3" s="92" t="s">
        <v>313</v>
      </c>
      <c r="W3" s="89" t="s">
        <v>289</v>
      </c>
      <c r="X3" s="89" t="s">
        <v>295</v>
      </c>
      <c r="Y3" s="89" t="s">
        <v>20</v>
      </c>
      <c r="Z3" s="89" t="s">
        <v>21</v>
      </c>
      <c r="AA3" s="89" t="s">
        <v>22</v>
      </c>
      <c r="AB3" s="89" t="s">
        <v>23</v>
      </c>
      <c r="AC3" s="89" t="s">
        <v>24</v>
      </c>
      <c r="AD3" s="88" t="s">
        <v>296</v>
      </c>
      <c r="AE3" s="88" t="s">
        <v>297</v>
      </c>
      <c r="AF3" s="88" t="s">
        <v>25</v>
      </c>
      <c r="AG3" s="89" t="s">
        <v>26</v>
      </c>
      <c r="AH3" s="45" t="s">
        <v>27</v>
      </c>
    </row>
    <row r="4" spans="1:34" x14ac:dyDescent="0.25">
      <c r="A4" s="2" t="s">
        <v>70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1">
        <f t="shared" ref="AH4:AH19" si="0">SUM(B4:AG4)</f>
        <v>0</v>
      </c>
    </row>
    <row r="5" spans="1:34" x14ac:dyDescent="0.25">
      <c r="A5" s="2" t="s">
        <v>71</v>
      </c>
      <c r="B5" s="10">
        <v>21077</v>
      </c>
      <c r="C5" s="10">
        <v>602323</v>
      </c>
      <c r="D5" s="10">
        <v>622272</v>
      </c>
      <c r="E5" s="10">
        <v>337958</v>
      </c>
      <c r="F5" s="10">
        <v>78887</v>
      </c>
      <c r="G5" s="10">
        <v>280325</v>
      </c>
      <c r="H5" s="10">
        <v>195187</v>
      </c>
      <c r="I5" s="10">
        <v>19516.259999999998</v>
      </c>
      <c r="J5" s="96">
        <v>99316</v>
      </c>
      <c r="K5" s="10">
        <v>65867</v>
      </c>
      <c r="L5" s="10">
        <v>5687</v>
      </c>
      <c r="M5" s="10">
        <v>438047</v>
      </c>
      <c r="N5" s="10">
        <v>2035984</v>
      </c>
      <c r="O5" s="10">
        <v>169551</v>
      </c>
      <c r="P5" s="10">
        <v>30090</v>
      </c>
      <c r="Q5" s="10">
        <v>152044</v>
      </c>
      <c r="R5" s="10">
        <v>185551</v>
      </c>
      <c r="S5" s="10">
        <v>47537</v>
      </c>
      <c r="T5" s="10">
        <v>546929</v>
      </c>
      <c r="U5" s="10"/>
      <c r="V5" s="10">
        <v>282356</v>
      </c>
      <c r="W5" s="10">
        <v>26027</v>
      </c>
      <c r="X5" s="10">
        <v>264538</v>
      </c>
      <c r="Y5" s="10">
        <v>78091</v>
      </c>
      <c r="Z5" s="10">
        <v>679010</v>
      </c>
      <c r="AA5" s="10">
        <v>17823</v>
      </c>
      <c r="AB5" s="10">
        <v>279984</v>
      </c>
      <c r="AC5" s="10">
        <v>1028954</v>
      </c>
      <c r="AD5" s="10">
        <v>51217</v>
      </c>
      <c r="AE5" s="10">
        <v>24020</v>
      </c>
      <c r="AF5" s="124">
        <v>12717</v>
      </c>
      <c r="AG5" s="10">
        <v>32048</v>
      </c>
      <c r="AH5" s="11">
        <f t="shared" si="0"/>
        <v>8710933.2599999998</v>
      </c>
    </row>
    <row r="6" spans="1:34" x14ac:dyDescent="0.25">
      <c r="A6" s="2" t="s">
        <v>72</v>
      </c>
      <c r="B6" s="10"/>
      <c r="C6" s="10"/>
      <c r="D6" s="10"/>
      <c r="E6" s="10">
        <v>888197</v>
      </c>
      <c r="F6" s="10"/>
      <c r="G6" s="10"/>
      <c r="H6" s="10">
        <v>58718</v>
      </c>
      <c r="I6" s="10">
        <v>748152.33</v>
      </c>
      <c r="J6" s="10"/>
      <c r="K6" s="10"/>
      <c r="L6" s="10"/>
      <c r="M6" s="10"/>
      <c r="N6" s="10">
        <v>2411770</v>
      </c>
      <c r="O6" s="10">
        <v>37849</v>
      </c>
      <c r="P6" s="10"/>
      <c r="Q6" s="10"/>
      <c r="R6" s="10"/>
      <c r="S6" s="10"/>
      <c r="T6" s="10">
        <v>6452</v>
      </c>
      <c r="U6" s="10"/>
      <c r="V6" s="10"/>
      <c r="W6" s="10"/>
      <c r="X6" s="10"/>
      <c r="Y6" s="10"/>
      <c r="Z6" s="10"/>
      <c r="AA6" s="10"/>
      <c r="AB6" s="10">
        <v>11600</v>
      </c>
      <c r="AC6" s="10"/>
      <c r="AD6" s="10">
        <v>134390</v>
      </c>
      <c r="AE6" s="10">
        <v>59546</v>
      </c>
      <c r="AF6" s="124">
        <v>131793</v>
      </c>
      <c r="AG6" s="10"/>
      <c r="AH6" s="11">
        <f t="shared" si="0"/>
        <v>4488467.33</v>
      </c>
    </row>
    <row r="7" spans="1:34" x14ac:dyDescent="0.25">
      <c r="A7" s="2" t="s">
        <v>73</v>
      </c>
      <c r="B7" s="10"/>
      <c r="C7" s="10"/>
      <c r="D7" s="10"/>
      <c r="E7" s="10"/>
      <c r="F7" s="10"/>
      <c r="G7" s="10"/>
      <c r="H7" s="10"/>
      <c r="I7" s="10"/>
      <c r="J7" s="10"/>
      <c r="K7" s="10">
        <v>51357</v>
      </c>
      <c r="L7" s="10"/>
      <c r="M7" s="10"/>
      <c r="N7" s="10"/>
      <c r="O7" s="10"/>
      <c r="P7" s="10"/>
      <c r="Q7" s="10"/>
      <c r="R7" s="10"/>
      <c r="S7" s="10"/>
      <c r="T7" s="10">
        <v>288522</v>
      </c>
      <c r="U7" s="10"/>
      <c r="V7" s="10"/>
      <c r="W7" s="10"/>
      <c r="X7" s="10"/>
      <c r="Y7" s="10"/>
      <c r="Z7" s="10"/>
      <c r="AA7" s="10">
        <v>207890</v>
      </c>
      <c r="AB7" s="10"/>
      <c r="AC7" s="10"/>
      <c r="AD7" s="10"/>
      <c r="AE7" s="10"/>
      <c r="AF7" s="124">
        <v>16182</v>
      </c>
      <c r="AG7" s="10"/>
      <c r="AH7" s="11">
        <f t="shared" si="0"/>
        <v>563951</v>
      </c>
    </row>
    <row r="8" spans="1:34" x14ac:dyDescent="0.25">
      <c r="A8" s="2" t="s">
        <v>74</v>
      </c>
      <c r="B8" s="10">
        <v>1</v>
      </c>
      <c r="C8" s="10">
        <v>87581</v>
      </c>
      <c r="D8" s="10">
        <v>940291</v>
      </c>
      <c r="E8" s="10"/>
      <c r="F8" s="10">
        <v>7135</v>
      </c>
      <c r="G8" s="10">
        <v>11310</v>
      </c>
      <c r="H8" s="10"/>
      <c r="I8" s="10">
        <v>541624.77</v>
      </c>
      <c r="J8" s="10"/>
      <c r="K8" s="10"/>
      <c r="L8" s="10">
        <v>53557</v>
      </c>
      <c r="M8" s="10">
        <v>11331</v>
      </c>
      <c r="N8" s="10"/>
      <c r="O8" s="10"/>
      <c r="P8" s="10">
        <v>433</v>
      </c>
      <c r="Q8" s="10"/>
      <c r="R8" s="10">
        <v>10352</v>
      </c>
      <c r="S8" s="10">
        <v>6322</v>
      </c>
      <c r="T8" s="10"/>
      <c r="U8" s="10">
        <v>551</v>
      </c>
      <c r="V8" s="10">
        <v>73044</v>
      </c>
      <c r="W8" s="10">
        <v>7330</v>
      </c>
      <c r="X8" s="10">
        <v>35862</v>
      </c>
      <c r="Y8" s="10">
        <v>33789</v>
      </c>
      <c r="Z8" s="10">
        <v>134060</v>
      </c>
      <c r="AA8" s="10">
        <v>14349</v>
      </c>
      <c r="AB8" s="10"/>
      <c r="AC8" s="10">
        <v>42190</v>
      </c>
      <c r="AD8" s="10">
        <v>286478</v>
      </c>
      <c r="AE8" s="10">
        <v>3585322</v>
      </c>
      <c r="AF8" s="124">
        <v>184822</v>
      </c>
      <c r="AG8" s="10">
        <v>15</v>
      </c>
      <c r="AH8" s="11">
        <f t="shared" si="0"/>
        <v>6067749.7699999996</v>
      </c>
    </row>
    <row r="9" spans="1:34" x14ac:dyDescent="0.25">
      <c r="A9" s="2" t="s">
        <v>75</v>
      </c>
      <c r="B9" s="10"/>
      <c r="C9" s="10"/>
      <c r="D9" s="10">
        <v>301577</v>
      </c>
      <c r="E9" s="10">
        <v>2204361</v>
      </c>
      <c r="F9" s="10"/>
      <c r="G9" s="10"/>
      <c r="H9" s="10">
        <v>313272</v>
      </c>
      <c r="I9" s="10">
        <v>274910.01</v>
      </c>
      <c r="J9" s="10"/>
      <c r="K9" s="10"/>
      <c r="L9" s="10"/>
      <c r="M9" s="10">
        <v>1350243</v>
      </c>
      <c r="N9" s="10">
        <v>369415</v>
      </c>
      <c r="O9" s="10">
        <v>9986</v>
      </c>
      <c r="P9" s="10"/>
      <c r="Q9" s="10"/>
      <c r="R9" s="10"/>
      <c r="S9" s="10"/>
      <c r="T9" s="10">
        <v>753302</v>
      </c>
      <c r="U9" s="10"/>
      <c r="V9" s="10"/>
      <c r="W9" s="10"/>
      <c r="X9" s="10"/>
      <c r="Y9" s="10"/>
      <c r="Z9" s="10"/>
      <c r="AA9" s="10">
        <v>142548</v>
      </c>
      <c r="AB9" s="10">
        <v>62821</v>
      </c>
      <c r="AC9" s="10">
        <v>747375</v>
      </c>
      <c r="AD9" s="10">
        <v>1266704</v>
      </c>
      <c r="AE9" s="10">
        <v>573433</v>
      </c>
      <c r="AF9" s="124">
        <v>346711</v>
      </c>
      <c r="AG9" s="10"/>
      <c r="AH9" s="11">
        <f t="shared" si="0"/>
        <v>8716658.0099999998</v>
      </c>
    </row>
    <row r="10" spans="1:34" x14ac:dyDescent="0.25">
      <c r="A10" s="2" t="s">
        <v>76</v>
      </c>
      <c r="B10" s="10">
        <v>329</v>
      </c>
      <c r="C10" s="10">
        <v>5420</v>
      </c>
      <c r="D10" s="10">
        <v>43497</v>
      </c>
      <c r="E10" s="10">
        <v>88404</v>
      </c>
      <c r="F10" s="10">
        <v>9138</v>
      </c>
      <c r="G10" s="10">
        <v>128</v>
      </c>
      <c r="H10" s="10">
        <v>4288</v>
      </c>
      <c r="I10" s="10">
        <v>24918.34</v>
      </c>
      <c r="J10" s="96">
        <v>3361</v>
      </c>
      <c r="K10" s="10">
        <v>15163</v>
      </c>
      <c r="L10" s="10">
        <v>12694</v>
      </c>
      <c r="M10" s="10">
        <v>185862</v>
      </c>
      <c r="N10" s="10">
        <v>411513</v>
      </c>
      <c r="O10" s="10">
        <v>284247</v>
      </c>
      <c r="P10" s="10">
        <v>145</v>
      </c>
      <c r="Q10" s="10">
        <v>987</v>
      </c>
      <c r="R10" s="10">
        <v>417</v>
      </c>
      <c r="S10" s="10">
        <v>2665</v>
      </c>
      <c r="T10" s="10">
        <v>111888.05931916385</v>
      </c>
      <c r="U10" s="10">
        <v>2594</v>
      </c>
      <c r="V10" s="10">
        <v>12989</v>
      </c>
      <c r="W10" s="10">
        <v>3823</v>
      </c>
      <c r="X10" s="10">
        <v>26155</v>
      </c>
      <c r="Y10" s="10">
        <v>8988</v>
      </c>
      <c r="Z10" s="10">
        <v>32590</v>
      </c>
      <c r="AA10" s="10">
        <v>35086</v>
      </c>
      <c r="AB10" s="10">
        <v>116460</v>
      </c>
      <c r="AC10" s="10">
        <v>12041</v>
      </c>
      <c r="AD10" s="10">
        <v>321626</v>
      </c>
      <c r="AE10" s="10">
        <v>80519</v>
      </c>
      <c r="AF10" s="124">
        <v>50337</v>
      </c>
      <c r="AG10" s="10">
        <v>7429</v>
      </c>
      <c r="AH10" s="11">
        <f t="shared" si="0"/>
        <v>1915701.3993191638</v>
      </c>
    </row>
    <row r="11" spans="1:34" x14ac:dyDescent="0.25">
      <c r="A11" s="2" t="s">
        <v>77</v>
      </c>
      <c r="B11" s="10">
        <v>10507</v>
      </c>
      <c r="C11" s="10">
        <v>83499</v>
      </c>
      <c r="D11" s="10">
        <v>295918</v>
      </c>
      <c r="E11" s="10">
        <v>319415</v>
      </c>
      <c r="F11" s="10">
        <v>42919</v>
      </c>
      <c r="G11" s="10">
        <v>137549</v>
      </c>
      <c r="H11" s="10">
        <v>71830</v>
      </c>
      <c r="I11" s="10">
        <v>27421.26</v>
      </c>
      <c r="J11" s="10"/>
      <c r="K11" s="10">
        <v>85039</v>
      </c>
      <c r="L11" s="10">
        <v>97376</v>
      </c>
      <c r="M11" s="10">
        <v>360510</v>
      </c>
      <c r="N11" s="10">
        <v>262855</v>
      </c>
      <c r="O11" s="10">
        <v>143886</v>
      </c>
      <c r="P11" s="10">
        <v>36532</v>
      </c>
      <c r="Q11" s="10">
        <v>58841</v>
      </c>
      <c r="R11" s="10">
        <v>20845</v>
      </c>
      <c r="S11" s="10">
        <v>69278</v>
      </c>
      <c r="T11" s="10">
        <f>420641+111411</f>
        <v>532052</v>
      </c>
      <c r="U11" s="10"/>
      <c r="V11" s="10">
        <f>15635+37612</f>
        <v>53247</v>
      </c>
      <c r="W11" s="10">
        <v>10913</v>
      </c>
      <c r="X11" s="10">
        <v>39763</v>
      </c>
      <c r="Y11" s="10">
        <f>70887+26342</f>
        <v>97229</v>
      </c>
      <c r="Z11" s="10">
        <v>225274</v>
      </c>
      <c r="AA11" s="10">
        <v>23373</v>
      </c>
      <c r="AB11" s="10">
        <v>259182</v>
      </c>
      <c r="AC11" s="10">
        <v>370825</v>
      </c>
      <c r="AD11" s="10">
        <v>725393</v>
      </c>
      <c r="AE11" s="10">
        <v>346917</v>
      </c>
      <c r="AF11" s="124">
        <v>141643</v>
      </c>
      <c r="AG11" s="10">
        <v>218832</v>
      </c>
      <c r="AH11" s="11">
        <f t="shared" si="0"/>
        <v>5168863.26</v>
      </c>
    </row>
    <row r="12" spans="1:34" x14ac:dyDescent="0.25">
      <c r="A12" s="2" t="s">
        <v>78</v>
      </c>
      <c r="B12" s="10"/>
      <c r="C12" s="10">
        <v>11579</v>
      </c>
      <c r="D12" s="10">
        <v>12558</v>
      </c>
      <c r="E12" s="10">
        <v>57364</v>
      </c>
      <c r="F12" s="10"/>
      <c r="G12" s="10"/>
      <c r="H12" s="10">
        <v>19093</v>
      </c>
      <c r="I12" s="10">
        <v>54508.7</v>
      </c>
      <c r="J12" s="10"/>
      <c r="K12" s="10">
        <v>398</v>
      </c>
      <c r="L12" s="10"/>
      <c r="M12" s="10">
        <v>68172</v>
      </c>
      <c r="N12" s="10">
        <v>65950</v>
      </c>
      <c r="O12" s="10">
        <v>17902</v>
      </c>
      <c r="P12" s="10">
        <v>10082</v>
      </c>
      <c r="Q12" s="10">
        <v>2232</v>
      </c>
      <c r="R12" s="10">
        <v>2875</v>
      </c>
      <c r="S12" s="10"/>
      <c r="T12" s="10">
        <v>353515</v>
      </c>
      <c r="U12" s="10"/>
      <c r="V12" s="10"/>
      <c r="W12" s="10">
        <v>2422</v>
      </c>
      <c r="X12" s="10">
        <v>3224</v>
      </c>
      <c r="Y12" s="10">
        <v>2291</v>
      </c>
      <c r="Z12" s="10">
        <v>98</v>
      </c>
      <c r="AA12" s="10">
        <v>174</v>
      </c>
      <c r="AB12" s="10">
        <v>21378</v>
      </c>
      <c r="AC12" s="10">
        <v>24341</v>
      </c>
      <c r="AD12" s="10">
        <v>880437</v>
      </c>
      <c r="AE12" s="10">
        <v>366035</v>
      </c>
      <c r="AF12" s="124">
        <v>319443</v>
      </c>
      <c r="AG12" s="10">
        <v>5056</v>
      </c>
      <c r="AH12" s="11">
        <f t="shared" si="0"/>
        <v>2301127.7000000002</v>
      </c>
    </row>
    <row r="13" spans="1:34" x14ac:dyDescent="0.25">
      <c r="A13" s="2" t="s">
        <v>79</v>
      </c>
      <c r="B13" s="10">
        <v>933</v>
      </c>
      <c r="C13" s="10">
        <v>17850</v>
      </c>
      <c r="D13" s="10">
        <v>4301</v>
      </c>
      <c r="E13" s="10">
        <v>49482</v>
      </c>
      <c r="F13" s="10">
        <v>8382</v>
      </c>
      <c r="G13" s="10">
        <v>25376</v>
      </c>
      <c r="H13" s="10">
        <v>4213</v>
      </c>
      <c r="I13" s="10">
        <v>8123.13</v>
      </c>
      <c r="J13" s="10">
        <v>1513</v>
      </c>
      <c r="K13" s="10">
        <v>26471</v>
      </c>
      <c r="L13" s="10">
        <v>39505</v>
      </c>
      <c r="M13" s="10">
        <v>74147</v>
      </c>
      <c r="N13" s="10">
        <v>455762</v>
      </c>
      <c r="O13" s="10">
        <v>43129</v>
      </c>
      <c r="P13" s="10">
        <v>1107</v>
      </c>
      <c r="Q13" s="10">
        <v>16775</v>
      </c>
      <c r="R13" s="10">
        <v>502</v>
      </c>
      <c r="S13" s="10">
        <v>4986</v>
      </c>
      <c r="T13" s="10">
        <v>15278</v>
      </c>
      <c r="U13" s="10">
        <v>2516</v>
      </c>
      <c r="V13" s="10">
        <v>39673</v>
      </c>
      <c r="W13" s="10">
        <v>767</v>
      </c>
      <c r="X13" s="10">
        <v>48305</v>
      </c>
      <c r="Y13" s="10">
        <v>14283</v>
      </c>
      <c r="Z13" s="10">
        <v>43683</v>
      </c>
      <c r="AA13" s="10">
        <v>15635</v>
      </c>
      <c r="AB13" s="10">
        <v>84786</v>
      </c>
      <c r="AC13" s="10">
        <v>26541</v>
      </c>
      <c r="AD13" s="10">
        <v>17837</v>
      </c>
      <c r="AE13" s="10">
        <v>11951</v>
      </c>
      <c r="AF13" s="124">
        <v>15390</v>
      </c>
      <c r="AG13" s="10">
        <v>3685</v>
      </c>
      <c r="AH13" s="11">
        <f t="shared" si="0"/>
        <v>1122887.1299999999</v>
      </c>
    </row>
    <row r="14" spans="1:34" x14ac:dyDescent="0.25">
      <c r="A14" s="2" t="s">
        <v>80</v>
      </c>
      <c r="B14" s="10"/>
      <c r="C14" s="10"/>
      <c r="D14" s="10">
        <v>3947</v>
      </c>
      <c r="E14" s="10"/>
      <c r="F14" s="10"/>
      <c r="G14" s="10"/>
      <c r="H14" s="10">
        <v>7656</v>
      </c>
      <c r="I14" s="10"/>
      <c r="J14" s="96">
        <v>3066</v>
      </c>
      <c r="K14" s="10"/>
      <c r="L14" s="10"/>
      <c r="M14" s="10"/>
      <c r="N14" s="10"/>
      <c r="O14" s="10"/>
      <c r="P14" s="10"/>
      <c r="Q14" s="10"/>
      <c r="R14" s="10">
        <v>2924</v>
      </c>
      <c r="S14" s="10"/>
      <c r="T14" s="10">
        <v>85022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24">
        <v>57036</v>
      </c>
      <c r="AG14" s="10"/>
      <c r="AH14" s="11">
        <f t="shared" si="0"/>
        <v>159651</v>
      </c>
    </row>
    <row r="15" spans="1:34" x14ac:dyDescent="0.25">
      <c r="A15" s="2" t="s">
        <v>81</v>
      </c>
      <c r="B15" s="10">
        <f>B16-B14-B13-B12-B11-B10-B9-B8-B7-B6-B5-B4</f>
        <v>0</v>
      </c>
      <c r="C15" s="10">
        <f t="shared" ref="C15:AG15" si="1">C16-C14-C13-C12-C11-C10-C9-C8-C7-C6-C5-C4</f>
        <v>0</v>
      </c>
      <c r="D15" s="76">
        <f t="shared" si="1"/>
        <v>0</v>
      </c>
      <c r="E15" s="10">
        <f t="shared" si="1"/>
        <v>13074</v>
      </c>
      <c r="F15" s="10">
        <f t="shared" si="1"/>
        <v>0</v>
      </c>
      <c r="G15" s="10">
        <f t="shared" si="1"/>
        <v>0</v>
      </c>
      <c r="H15" s="10">
        <f t="shared" si="1"/>
        <v>22589</v>
      </c>
      <c r="I15" s="10">
        <f t="shared" si="1"/>
        <v>1.2732925824820995E-10</v>
      </c>
      <c r="J15" s="10">
        <f t="shared" si="1"/>
        <v>852</v>
      </c>
      <c r="K15" s="10">
        <f t="shared" si="1"/>
        <v>-1</v>
      </c>
      <c r="L15" s="10">
        <f t="shared" si="1"/>
        <v>0</v>
      </c>
      <c r="M15" s="10">
        <f t="shared" si="1"/>
        <v>0</v>
      </c>
      <c r="N15" s="10">
        <f t="shared" si="1"/>
        <v>0</v>
      </c>
      <c r="O15" s="10">
        <f t="shared" si="1"/>
        <v>0</v>
      </c>
      <c r="P15" s="10">
        <f t="shared" si="1"/>
        <v>0</v>
      </c>
      <c r="Q15" s="10">
        <f t="shared" si="1"/>
        <v>19892</v>
      </c>
      <c r="R15" s="10">
        <f t="shared" si="1"/>
        <v>0</v>
      </c>
      <c r="S15" s="10">
        <f t="shared" si="1"/>
        <v>0</v>
      </c>
      <c r="T15" s="10">
        <f t="shared" si="1"/>
        <v>1836.9406808360945</v>
      </c>
      <c r="U15" s="10">
        <f t="shared" si="1"/>
        <v>0</v>
      </c>
      <c r="V15" s="10">
        <f t="shared" si="1"/>
        <v>0</v>
      </c>
      <c r="W15" s="10">
        <f t="shared" si="1"/>
        <v>0</v>
      </c>
      <c r="X15" s="10">
        <f t="shared" si="1"/>
        <v>32</v>
      </c>
      <c r="Y15" s="10">
        <f t="shared" si="1"/>
        <v>0</v>
      </c>
      <c r="Z15" s="10">
        <f t="shared" si="1"/>
        <v>0</v>
      </c>
      <c r="AA15" s="10">
        <f t="shared" si="1"/>
        <v>0</v>
      </c>
      <c r="AB15" s="10">
        <f t="shared" si="1"/>
        <v>128</v>
      </c>
      <c r="AC15" s="10">
        <f t="shared" si="1"/>
        <v>67626</v>
      </c>
      <c r="AD15" s="10">
        <f t="shared" si="1"/>
        <v>205425</v>
      </c>
      <c r="AE15" s="10">
        <f t="shared" si="1"/>
        <v>78212</v>
      </c>
      <c r="AF15" s="10">
        <f t="shared" si="1"/>
        <v>56836</v>
      </c>
      <c r="AG15" s="10">
        <f t="shared" si="1"/>
        <v>0</v>
      </c>
      <c r="AH15" s="11">
        <f t="shared" si="0"/>
        <v>466501.94068083621</v>
      </c>
    </row>
    <row r="16" spans="1:34" s="8" customFormat="1" x14ac:dyDescent="0.25">
      <c r="A16" s="3" t="s">
        <v>48</v>
      </c>
      <c r="B16" s="11">
        <v>32847</v>
      </c>
      <c r="C16" s="11">
        <v>808252</v>
      </c>
      <c r="D16" s="11">
        <v>2224361</v>
      </c>
      <c r="E16" s="11">
        <v>3958255</v>
      </c>
      <c r="F16" s="11">
        <v>146461</v>
      </c>
      <c r="G16" s="11">
        <v>454688</v>
      </c>
      <c r="H16" s="11">
        <v>696846</v>
      </c>
      <c r="I16" s="11">
        <v>1699174.8</v>
      </c>
      <c r="J16" s="101">
        <v>108108</v>
      </c>
      <c r="K16" s="11">
        <v>244294</v>
      </c>
      <c r="L16" s="11">
        <v>208819</v>
      </c>
      <c r="M16" s="11">
        <v>2488312</v>
      </c>
      <c r="N16" s="11">
        <v>6013249</v>
      </c>
      <c r="O16" s="11">
        <v>706550</v>
      </c>
      <c r="P16" s="11">
        <v>78389</v>
      </c>
      <c r="Q16" s="11">
        <v>250771</v>
      </c>
      <c r="R16" s="11">
        <v>223466</v>
      </c>
      <c r="S16" s="11">
        <v>130788</v>
      </c>
      <c r="T16" s="11">
        <v>2694797</v>
      </c>
      <c r="U16" s="11">
        <v>5661</v>
      </c>
      <c r="V16" s="11">
        <v>461309</v>
      </c>
      <c r="W16" s="11">
        <v>51282</v>
      </c>
      <c r="X16" s="11">
        <v>417879</v>
      </c>
      <c r="Y16" s="11">
        <v>234671</v>
      </c>
      <c r="Z16" s="11">
        <v>1114715</v>
      </c>
      <c r="AA16" s="11">
        <v>456878</v>
      </c>
      <c r="AB16" s="11">
        <v>836339</v>
      </c>
      <c r="AC16" s="11">
        <v>2319893</v>
      </c>
      <c r="AD16" s="11">
        <v>3889507</v>
      </c>
      <c r="AE16" s="11">
        <v>5125955</v>
      </c>
      <c r="AF16" s="11">
        <v>1332910</v>
      </c>
      <c r="AG16" s="11">
        <v>267065</v>
      </c>
      <c r="AH16" s="11">
        <f t="shared" si="0"/>
        <v>39682491.799999997</v>
      </c>
    </row>
    <row r="17" spans="1:34" x14ac:dyDescent="0.25">
      <c r="A17" s="2" t="s">
        <v>82</v>
      </c>
      <c r="B17" s="10"/>
      <c r="C17" s="10">
        <v>544</v>
      </c>
      <c r="D17" s="10"/>
      <c r="E17" s="10">
        <v>264093</v>
      </c>
      <c r="F17" s="10">
        <v>7486</v>
      </c>
      <c r="G17" s="10">
        <v>7952</v>
      </c>
      <c r="H17" s="10">
        <v>40271</v>
      </c>
      <c r="I17" s="10">
        <v>1373722.43</v>
      </c>
      <c r="J17" s="96">
        <v>18773</v>
      </c>
      <c r="K17" s="10">
        <v>174699</v>
      </c>
      <c r="L17" s="10">
        <v>956445</v>
      </c>
      <c r="M17" s="10">
        <v>259348</v>
      </c>
      <c r="N17" s="10">
        <v>90892</v>
      </c>
      <c r="O17" s="10">
        <v>346526</v>
      </c>
      <c r="P17" s="10">
        <v>646</v>
      </c>
      <c r="Q17" s="10"/>
      <c r="R17" s="10">
        <v>9184</v>
      </c>
      <c r="S17" s="10">
        <v>141951</v>
      </c>
      <c r="T17" s="10">
        <v>2255700</v>
      </c>
      <c r="U17" s="10"/>
      <c r="V17" s="10">
        <v>5932</v>
      </c>
      <c r="W17" s="10">
        <v>19360</v>
      </c>
      <c r="X17" s="10">
        <v>212655</v>
      </c>
      <c r="Y17" s="10">
        <v>8012</v>
      </c>
      <c r="Z17" s="10">
        <v>1047748</v>
      </c>
      <c r="AA17" s="10"/>
      <c r="AB17" s="10">
        <v>231452</v>
      </c>
      <c r="AC17" s="10">
        <v>148717</v>
      </c>
      <c r="AD17" s="10">
        <v>310334</v>
      </c>
      <c r="AE17" s="10">
        <v>281548</v>
      </c>
      <c r="AF17" s="124">
        <v>1231304</v>
      </c>
      <c r="AG17" s="10">
        <v>39484</v>
      </c>
      <c r="AH17" s="11">
        <f t="shared" si="0"/>
        <v>9484778.4299999997</v>
      </c>
    </row>
    <row r="18" spans="1:34" ht="30" x14ac:dyDescent="0.25">
      <c r="A18" s="2" t="s">
        <v>83</v>
      </c>
      <c r="B18" s="10"/>
      <c r="C18" s="10">
        <v>168767</v>
      </c>
      <c r="D18" s="76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1">
        <f t="shared" si="0"/>
        <v>168767</v>
      </c>
    </row>
    <row r="19" spans="1:34" s="8" customFormat="1" x14ac:dyDescent="0.25">
      <c r="A19" s="3" t="s">
        <v>84</v>
      </c>
      <c r="B19" s="11">
        <f>B16+B17+B18</f>
        <v>32847</v>
      </c>
      <c r="C19" s="11">
        <f t="shared" ref="C19:AG19" si="2">C16+C17+C18</f>
        <v>977563</v>
      </c>
      <c r="D19" s="11">
        <f t="shared" si="2"/>
        <v>2224361</v>
      </c>
      <c r="E19" s="11">
        <f t="shared" si="2"/>
        <v>4222348</v>
      </c>
      <c r="F19" s="11">
        <f t="shared" si="2"/>
        <v>153947</v>
      </c>
      <c r="G19" s="11">
        <f t="shared" si="2"/>
        <v>462640</v>
      </c>
      <c r="H19" s="11">
        <f t="shared" si="2"/>
        <v>737117</v>
      </c>
      <c r="I19" s="11">
        <f t="shared" si="2"/>
        <v>3072897.23</v>
      </c>
      <c r="J19" s="11">
        <f t="shared" si="2"/>
        <v>126881</v>
      </c>
      <c r="K19" s="11">
        <f t="shared" si="2"/>
        <v>418993</v>
      </c>
      <c r="L19" s="11">
        <f t="shared" si="2"/>
        <v>1165264</v>
      </c>
      <c r="M19" s="11">
        <f t="shared" si="2"/>
        <v>2747660</v>
      </c>
      <c r="N19" s="11">
        <f t="shared" si="2"/>
        <v>6104141</v>
      </c>
      <c r="O19" s="11">
        <f t="shared" si="2"/>
        <v>1053076</v>
      </c>
      <c r="P19" s="11">
        <f t="shared" si="2"/>
        <v>79035</v>
      </c>
      <c r="Q19" s="11">
        <f t="shared" si="2"/>
        <v>250771</v>
      </c>
      <c r="R19" s="11">
        <f t="shared" si="2"/>
        <v>232650</v>
      </c>
      <c r="S19" s="11">
        <f t="shared" si="2"/>
        <v>272739</v>
      </c>
      <c r="T19" s="11">
        <f t="shared" si="2"/>
        <v>4950497</v>
      </c>
      <c r="U19" s="11">
        <f t="shared" si="2"/>
        <v>5661</v>
      </c>
      <c r="V19" s="11">
        <f t="shared" si="2"/>
        <v>467241</v>
      </c>
      <c r="W19" s="11">
        <f t="shared" si="2"/>
        <v>70642</v>
      </c>
      <c r="X19" s="11">
        <f t="shared" si="2"/>
        <v>630534</v>
      </c>
      <c r="Y19" s="11">
        <f t="shared" si="2"/>
        <v>242683</v>
      </c>
      <c r="Z19" s="11">
        <f t="shared" si="2"/>
        <v>2162463</v>
      </c>
      <c r="AA19" s="11">
        <f t="shared" si="2"/>
        <v>456878</v>
      </c>
      <c r="AB19" s="11">
        <f t="shared" si="2"/>
        <v>1067791</v>
      </c>
      <c r="AC19" s="11">
        <f t="shared" si="2"/>
        <v>2468610</v>
      </c>
      <c r="AD19" s="11">
        <f t="shared" si="2"/>
        <v>4199841</v>
      </c>
      <c r="AE19" s="11">
        <f t="shared" si="2"/>
        <v>5407503</v>
      </c>
      <c r="AF19" s="11">
        <f t="shared" si="2"/>
        <v>2564214</v>
      </c>
      <c r="AG19" s="11">
        <f t="shared" si="2"/>
        <v>306549</v>
      </c>
      <c r="AH19" s="11">
        <f t="shared" si="0"/>
        <v>49336037.230000004</v>
      </c>
    </row>
    <row r="24" spans="1:34" x14ac:dyDescent="0.25">
      <c r="L24" s="7">
        <f>161804+1627</f>
        <v>163431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0.140625" style="7" customWidth="1"/>
    <col min="2" max="33" width="16" style="7" customWidth="1"/>
    <col min="34" max="34" width="16" style="65" customWidth="1"/>
    <col min="35" max="16384" width="9.140625" style="7"/>
  </cols>
  <sheetData>
    <row r="1" spans="1:34" ht="18.75" x14ac:dyDescent="0.3">
      <c r="A1" s="17" t="s">
        <v>301</v>
      </c>
    </row>
    <row r="2" spans="1:34" x14ac:dyDescent="0.25">
      <c r="A2" s="6" t="s">
        <v>40</v>
      </c>
    </row>
    <row r="3" spans="1:34" x14ac:dyDescent="0.25">
      <c r="A3" s="1" t="s">
        <v>0</v>
      </c>
      <c r="B3" s="89" t="s">
        <v>1</v>
      </c>
      <c r="C3" s="89" t="s">
        <v>290</v>
      </c>
      <c r="D3" s="89" t="s">
        <v>3</v>
      </c>
      <c r="E3" s="89" t="s">
        <v>4</v>
      </c>
      <c r="F3" s="89" t="s">
        <v>5</v>
      </c>
      <c r="G3" s="89" t="s">
        <v>291</v>
      </c>
      <c r="H3" s="89" t="s">
        <v>292</v>
      </c>
      <c r="I3" s="89" t="s">
        <v>8</v>
      </c>
      <c r="J3" s="89" t="s">
        <v>7</v>
      </c>
      <c r="K3" s="89" t="s">
        <v>9</v>
      </c>
      <c r="L3" s="89" t="s">
        <v>288</v>
      </c>
      <c r="M3" s="89" t="s">
        <v>11</v>
      </c>
      <c r="N3" s="89" t="s">
        <v>12</v>
      </c>
      <c r="O3" s="89" t="s">
        <v>13</v>
      </c>
      <c r="P3" s="89" t="s">
        <v>14</v>
      </c>
      <c r="Q3" s="89" t="s">
        <v>15</v>
      </c>
      <c r="R3" s="89" t="s">
        <v>16</v>
      </c>
      <c r="S3" s="89" t="s">
        <v>293</v>
      </c>
      <c r="T3" s="92" t="s">
        <v>17</v>
      </c>
      <c r="U3" s="92" t="s">
        <v>294</v>
      </c>
      <c r="V3" s="92" t="s">
        <v>313</v>
      </c>
      <c r="W3" s="89" t="s">
        <v>289</v>
      </c>
      <c r="X3" s="89" t="s">
        <v>295</v>
      </c>
      <c r="Y3" s="89" t="s">
        <v>20</v>
      </c>
      <c r="Z3" s="89" t="s">
        <v>21</v>
      </c>
      <c r="AA3" s="89" t="s">
        <v>22</v>
      </c>
      <c r="AB3" s="89" t="s">
        <v>23</v>
      </c>
      <c r="AC3" s="89" t="s">
        <v>24</v>
      </c>
      <c r="AD3" s="88" t="s">
        <v>296</v>
      </c>
      <c r="AE3" s="88" t="s">
        <v>297</v>
      </c>
      <c r="AF3" s="88" t="s">
        <v>25</v>
      </c>
      <c r="AG3" s="89" t="s">
        <v>26</v>
      </c>
      <c r="AH3" s="86" t="s">
        <v>27</v>
      </c>
    </row>
    <row r="4" spans="1:34" ht="15" customHeight="1" x14ac:dyDescent="0.25">
      <c r="A4" s="2" t="s">
        <v>85</v>
      </c>
      <c r="B4" s="10">
        <v>993</v>
      </c>
      <c r="C4" s="10">
        <v>1985</v>
      </c>
      <c r="D4" s="10">
        <v>63</v>
      </c>
      <c r="E4" s="10">
        <v>2560</v>
      </c>
      <c r="F4" s="10"/>
      <c r="G4" s="10">
        <v>26234</v>
      </c>
      <c r="H4" s="10">
        <v>73238</v>
      </c>
      <c r="I4" s="10">
        <v>261.5</v>
      </c>
      <c r="J4" s="10">
        <v>1906</v>
      </c>
      <c r="K4" s="10">
        <v>23646</v>
      </c>
      <c r="L4" s="10">
        <v>179280</v>
      </c>
      <c r="M4" s="10">
        <v>203961</v>
      </c>
      <c r="N4" s="10">
        <v>18607</v>
      </c>
      <c r="O4" s="10">
        <v>13710</v>
      </c>
      <c r="P4" s="10">
        <v>12217</v>
      </c>
      <c r="Q4" s="10">
        <v>43325</v>
      </c>
      <c r="R4" s="10">
        <v>6131</v>
      </c>
      <c r="S4" s="10">
        <v>4752</v>
      </c>
      <c r="T4" s="10">
        <v>87687</v>
      </c>
      <c r="U4" s="10">
        <v>2726</v>
      </c>
      <c r="V4" s="10">
        <v>4452</v>
      </c>
      <c r="W4" s="10">
        <v>177</v>
      </c>
      <c r="X4" s="10">
        <v>6110</v>
      </c>
      <c r="Y4" s="10">
        <v>23281</v>
      </c>
      <c r="Z4" s="10">
        <v>76346</v>
      </c>
      <c r="AA4" s="10">
        <v>9118</v>
      </c>
      <c r="AB4" s="10">
        <v>462846</v>
      </c>
      <c r="AC4" s="10">
        <v>98780</v>
      </c>
      <c r="AD4" s="10">
        <v>23338</v>
      </c>
      <c r="AE4" s="10">
        <v>47421</v>
      </c>
      <c r="AF4" s="10">
        <v>113382</v>
      </c>
      <c r="AG4" s="10">
        <v>2085</v>
      </c>
      <c r="AH4" s="11">
        <f t="shared" ref="AH4:AH16" si="0">SUM(B4:AG4)</f>
        <v>1570618.5</v>
      </c>
    </row>
    <row r="5" spans="1:34" x14ac:dyDescent="0.25">
      <c r="A5" s="2" t="s">
        <v>86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1">
        <f t="shared" si="0"/>
        <v>0</v>
      </c>
    </row>
    <row r="6" spans="1:34" x14ac:dyDescent="0.25">
      <c r="A6" s="2" t="s">
        <v>87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1">
        <f t="shared" si="0"/>
        <v>0</v>
      </c>
    </row>
    <row r="7" spans="1:34" ht="15" customHeight="1" x14ac:dyDescent="0.25">
      <c r="A7" s="2" t="s">
        <v>88</v>
      </c>
      <c r="B7" s="10"/>
      <c r="C7" s="10">
        <v>651</v>
      </c>
      <c r="D7" s="10">
        <v>60072934</v>
      </c>
      <c r="E7" s="10">
        <v>1281500</v>
      </c>
      <c r="F7" s="10"/>
      <c r="G7" s="10">
        <v>9267</v>
      </c>
      <c r="H7" s="10"/>
      <c r="I7" s="10">
        <f>13137900+200000</f>
        <v>13337900</v>
      </c>
      <c r="J7" s="10"/>
      <c r="K7" s="10">
        <v>122400</v>
      </c>
      <c r="L7" s="10"/>
      <c r="M7" s="10">
        <v>72943</v>
      </c>
      <c r="N7" s="10">
        <v>7840</v>
      </c>
      <c r="O7" s="10"/>
      <c r="P7" s="10"/>
      <c r="Q7" s="10">
        <v>10064</v>
      </c>
      <c r="R7" s="10"/>
      <c r="S7" s="10">
        <v>391700</v>
      </c>
      <c r="T7" s="10">
        <v>1712574</v>
      </c>
      <c r="U7" s="10">
        <v>1019</v>
      </c>
      <c r="V7" s="10">
        <v>451673</v>
      </c>
      <c r="W7" s="10"/>
      <c r="X7" s="10">
        <v>52716</v>
      </c>
      <c r="Y7" s="10"/>
      <c r="Z7" s="10"/>
      <c r="AA7" s="10"/>
      <c r="AB7" s="10">
        <v>3410900</v>
      </c>
      <c r="AC7" s="10">
        <v>1079</v>
      </c>
      <c r="AD7" s="10">
        <v>2938118</v>
      </c>
      <c r="AE7" s="10">
        <v>12926305</v>
      </c>
      <c r="AF7" s="10">
        <v>14571905</v>
      </c>
      <c r="AG7" s="10"/>
      <c r="AH7" s="11">
        <f t="shared" si="0"/>
        <v>111373488</v>
      </c>
    </row>
    <row r="8" spans="1:34" x14ac:dyDescent="0.25">
      <c r="A8" s="2" t="s">
        <v>89</v>
      </c>
      <c r="B8" s="10"/>
      <c r="C8" s="10">
        <v>3808</v>
      </c>
      <c r="D8" s="10"/>
      <c r="E8" s="10"/>
      <c r="F8" s="10"/>
      <c r="G8" s="10">
        <v>2500</v>
      </c>
      <c r="H8" s="10"/>
      <c r="I8" s="10">
        <v>1233800</v>
      </c>
      <c r="J8" s="10"/>
      <c r="K8" s="10">
        <v>2837</v>
      </c>
      <c r="L8" s="10"/>
      <c r="M8" s="10">
        <v>6553</v>
      </c>
      <c r="N8" s="10"/>
      <c r="O8" s="10"/>
      <c r="P8" s="10"/>
      <c r="Q8" s="10"/>
      <c r="R8" s="10"/>
      <c r="S8" s="10">
        <v>2500</v>
      </c>
      <c r="T8" s="10"/>
      <c r="U8" s="10"/>
      <c r="V8" s="10"/>
      <c r="W8" s="10">
        <v>29226</v>
      </c>
      <c r="X8" s="10"/>
      <c r="Y8" s="10"/>
      <c r="Z8" s="10">
        <v>3000</v>
      </c>
      <c r="AA8" s="10"/>
      <c r="AB8" s="10">
        <v>400000</v>
      </c>
      <c r="AC8" s="10">
        <v>13689</v>
      </c>
      <c r="AD8" s="10">
        <v>63127530</v>
      </c>
      <c r="AE8" s="10"/>
      <c r="AF8" s="10"/>
      <c r="AG8" s="10"/>
      <c r="AH8" s="11">
        <f t="shared" si="0"/>
        <v>64825443</v>
      </c>
    </row>
    <row r="9" spans="1:34" x14ac:dyDescent="0.25">
      <c r="A9" s="2" t="s">
        <v>90</v>
      </c>
      <c r="B9" s="10">
        <v>82957</v>
      </c>
      <c r="C9" s="10">
        <v>534628</v>
      </c>
      <c r="D9" s="10">
        <v>2661212</v>
      </c>
      <c r="E9" s="10">
        <v>3308905</v>
      </c>
      <c r="F9" s="10"/>
      <c r="G9" s="10">
        <v>276812</v>
      </c>
      <c r="H9" s="10">
        <v>185444</v>
      </c>
      <c r="I9" s="10">
        <v>57003.15</v>
      </c>
      <c r="J9" s="10">
        <v>184570</v>
      </c>
      <c r="K9" s="10">
        <v>637590</v>
      </c>
      <c r="L9" s="10">
        <v>857629</v>
      </c>
      <c r="M9" s="10">
        <v>1619737</v>
      </c>
      <c r="N9" s="10">
        <v>630308</v>
      </c>
      <c r="O9" s="10">
        <v>148643</v>
      </c>
      <c r="P9" s="10">
        <v>51223</v>
      </c>
      <c r="Q9" s="10">
        <v>16456</v>
      </c>
      <c r="R9" s="10">
        <v>433455</v>
      </c>
      <c r="S9" s="10">
        <v>114247</v>
      </c>
      <c r="T9" s="10">
        <v>6191032</v>
      </c>
      <c r="U9" s="10">
        <v>91738</v>
      </c>
      <c r="V9" s="10">
        <v>85172</v>
      </c>
      <c r="W9" s="10"/>
      <c r="X9" s="10">
        <v>906572</v>
      </c>
      <c r="Y9" s="10">
        <v>318761</v>
      </c>
      <c r="Z9" s="10">
        <v>607535</v>
      </c>
      <c r="AA9" s="10">
        <v>240152</v>
      </c>
      <c r="AB9" s="10">
        <v>1101017</v>
      </c>
      <c r="AC9" s="10">
        <v>2611251</v>
      </c>
      <c r="AD9" s="10">
        <v>13886179</v>
      </c>
      <c r="AE9" s="10">
        <v>14318099</v>
      </c>
      <c r="AF9" s="10">
        <v>9826434</v>
      </c>
      <c r="AG9" s="10">
        <v>379232</v>
      </c>
      <c r="AH9" s="11">
        <f t="shared" si="0"/>
        <v>62363993.149999999</v>
      </c>
    </row>
    <row r="10" spans="1:34" x14ac:dyDescent="0.25">
      <c r="A10" s="2" t="s">
        <v>91</v>
      </c>
      <c r="B10" s="10"/>
      <c r="C10" s="10"/>
      <c r="D10" s="10"/>
      <c r="E10" s="10">
        <v>215738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>
        <v>186089</v>
      </c>
      <c r="Y10" s="10"/>
      <c r="Z10" s="10"/>
      <c r="AA10" s="10">
        <v>11731</v>
      </c>
      <c r="AB10" s="10"/>
      <c r="AC10" s="10"/>
      <c r="AD10" s="10"/>
      <c r="AE10" s="10"/>
      <c r="AF10" s="10"/>
      <c r="AG10" s="10"/>
      <c r="AH10" s="11">
        <f t="shared" si="0"/>
        <v>413558</v>
      </c>
    </row>
    <row r="11" spans="1:34" x14ac:dyDescent="0.25">
      <c r="A11" s="2" t="s">
        <v>92</v>
      </c>
      <c r="B11" s="10"/>
      <c r="C11" s="10"/>
      <c r="D11" s="10"/>
      <c r="E11" s="10"/>
      <c r="F11" s="10"/>
      <c r="G11" s="10"/>
      <c r="H11" s="10">
        <v>36444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1">
        <f t="shared" si="0"/>
        <v>36444</v>
      </c>
    </row>
    <row r="12" spans="1:34" x14ac:dyDescent="0.25">
      <c r="A12" s="2" t="s">
        <v>93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1">
        <f t="shared" si="0"/>
        <v>0</v>
      </c>
    </row>
    <row r="13" spans="1:34" x14ac:dyDescent="0.25">
      <c r="A13" s="2" t="s">
        <v>94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1">
        <f t="shared" si="0"/>
        <v>0</v>
      </c>
    </row>
    <row r="14" spans="1:34" x14ac:dyDescent="0.25">
      <c r="A14" s="2" t="s">
        <v>95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>
        <v>14525192</v>
      </c>
      <c r="AE14" s="10"/>
      <c r="AF14" s="10">
        <v>4751581</v>
      </c>
      <c r="AG14" s="10"/>
      <c r="AH14" s="11">
        <f t="shared" si="0"/>
        <v>19276773</v>
      </c>
    </row>
    <row r="15" spans="1:34" x14ac:dyDescent="0.25">
      <c r="A15" s="2" t="s">
        <v>38</v>
      </c>
      <c r="B15" s="10">
        <f>B16-B14-B13-B12-B11-B10-B9-B8-B7-B6-B5-B4</f>
        <v>34975</v>
      </c>
      <c r="C15" s="76">
        <f t="shared" ref="C15:AG15" si="1">C16-C14-C13-C12-C11-C10-C9-C8-C7-C6-C5-C4</f>
        <v>0</v>
      </c>
      <c r="D15" s="10">
        <f t="shared" si="1"/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  <c r="I15" s="10">
        <f t="shared" si="1"/>
        <v>100</v>
      </c>
      <c r="J15" s="10">
        <f t="shared" si="1"/>
        <v>0</v>
      </c>
      <c r="K15" s="10">
        <f t="shared" si="1"/>
        <v>0</v>
      </c>
      <c r="L15" s="10">
        <f t="shared" si="1"/>
        <v>0</v>
      </c>
      <c r="M15" s="10">
        <f t="shared" si="1"/>
        <v>0</v>
      </c>
      <c r="N15" s="10">
        <f t="shared" si="1"/>
        <v>0</v>
      </c>
      <c r="O15" s="10">
        <f t="shared" si="1"/>
        <v>0</v>
      </c>
      <c r="P15" s="10">
        <f t="shared" si="1"/>
        <v>0</v>
      </c>
      <c r="Q15" s="10">
        <f t="shared" si="1"/>
        <v>0</v>
      </c>
      <c r="R15" s="10">
        <f t="shared" si="1"/>
        <v>0</v>
      </c>
      <c r="S15" s="10">
        <f t="shared" si="1"/>
        <v>0</v>
      </c>
      <c r="T15" s="10">
        <f t="shared" si="1"/>
        <v>0</v>
      </c>
      <c r="U15" s="10">
        <f t="shared" si="1"/>
        <v>0</v>
      </c>
      <c r="V15" s="10">
        <f t="shared" si="1"/>
        <v>0</v>
      </c>
      <c r="W15" s="10">
        <f t="shared" si="1"/>
        <v>0</v>
      </c>
      <c r="X15" s="10">
        <f t="shared" si="1"/>
        <v>0</v>
      </c>
      <c r="Y15" s="10">
        <f t="shared" si="1"/>
        <v>0</v>
      </c>
      <c r="Z15" s="10">
        <f t="shared" si="1"/>
        <v>0</v>
      </c>
      <c r="AA15" s="10">
        <f t="shared" si="1"/>
        <v>0</v>
      </c>
      <c r="AB15" s="10">
        <f t="shared" si="1"/>
        <v>0</v>
      </c>
      <c r="AC15" s="10">
        <f t="shared" si="1"/>
        <v>0</v>
      </c>
      <c r="AD15" s="10">
        <f t="shared" si="1"/>
        <v>0</v>
      </c>
      <c r="AE15" s="10">
        <f t="shared" si="1"/>
        <v>0</v>
      </c>
      <c r="AF15" s="10">
        <f t="shared" si="1"/>
        <v>0</v>
      </c>
      <c r="AG15" s="10">
        <f t="shared" si="1"/>
        <v>0</v>
      </c>
      <c r="AH15" s="11">
        <f t="shared" si="0"/>
        <v>35075</v>
      </c>
    </row>
    <row r="16" spans="1:34" s="8" customFormat="1" x14ac:dyDescent="0.25">
      <c r="A16" s="3" t="s">
        <v>48</v>
      </c>
      <c r="B16" s="11">
        <v>118925</v>
      </c>
      <c r="C16" s="11">
        <v>541072</v>
      </c>
      <c r="D16" s="11">
        <v>62734209</v>
      </c>
      <c r="E16" s="11">
        <v>4808703</v>
      </c>
      <c r="F16" s="11"/>
      <c r="G16" s="11">
        <v>314813</v>
      </c>
      <c r="H16" s="11">
        <v>295126</v>
      </c>
      <c r="I16" s="11">
        <v>14629064.65</v>
      </c>
      <c r="J16" s="11">
        <v>186476</v>
      </c>
      <c r="K16" s="11">
        <v>786473</v>
      </c>
      <c r="L16" s="11">
        <v>1036909</v>
      </c>
      <c r="M16" s="11">
        <v>1903194</v>
      </c>
      <c r="N16" s="11">
        <v>656755</v>
      </c>
      <c r="O16" s="11">
        <v>162353</v>
      </c>
      <c r="P16" s="11">
        <v>63440</v>
      </c>
      <c r="Q16" s="11">
        <v>69845</v>
      </c>
      <c r="R16" s="11">
        <v>439586</v>
      </c>
      <c r="S16" s="11">
        <v>513199</v>
      </c>
      <c r="T16" s="11">
        <v>7991293</v>
      </c>
      <c r="U16" s="11">
        <v>95483</v>
      </c>
      <c r="V16" s="11">
        <v>541297</v>
      </c>
      <c r="W16" s="11">
        <v>29403</v>
      </c>
      <c r="X16" s="11">
        <v>1151487</v>
      </c>
      <c r="Y16" s="11">
        <v>342042</v>
      </c>
      <c r="Z16" s="11">
        <v>686881</v>
      </c>
      <c r="AA16" s="11">
        <v>261001</v>
      </c>
      <c r="AB16" s="11">
        <v>5374763</v>
      </c>
      <c r="AC16" s="11">
        <v>2724799</v>
      </c>
      <c r="AD16" s="11">
        <v>94500357</v>
      </c>
      <c r="AE16" s="11">
        <v>27291825</v>
      </c>
      <c r="AF16" s="11">
        <v>29263302</v>
      </c>
      <c r="AG16" s="11">
        <v>381317</v>
      </c>
      <c r="AH16" s="11">
        <f t="shared" si="0"/>
        <v>259895392.65000001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7" customWidth="1"/>
    <col min="2" max="27" width="16" style="7" customWidth="1"/>
    <col min="28" max="28" width="16" style="58" customWidth="1"/>
    <col min="29" max="33" width="16" style="7" customWidth="1"/>
    <col min="34" max="34" width="16" style="8" customWidth="1"/>
    <col min="35" max="16384" width="9.140625" style="7"/>
  </cols>
  <sheetData>
    <row r="1" spans="1:34" ht="18.75" x14ac:dyDescent="0.3">
      <c r="A1" s="17" t="s">
        <v>300</v>
      </c>
    </row>
    <row r="2" spans="1:34" x14ac:dyDescent="0.25">
      <c r="A2" s="18" t="s">
        <v>40</v>
      </c>
    </row>
    <row r="3" spans="1:34" x14ac:dyDescent="0.25">
      <c r="A3" s="1" t="s">
        <v>0</v>
      </c>
      <c r="B3" s="89" t="s">
        <v>1</v>
      </c>
      <c r="C3" s="89" t="s">
        <v>290</v>
      </c>
      <c r="D3" s="89" t="s">
        <v>3</v>
      </c>
      <c r="E3" s="89" t="s">
        <v>4</v>
      </c>
      <c r="F3" s="89" t="s">
        <v>5</v>
      </c>
      <c r="G3" s="89" t="s">
        <v>291</v>
      </c>
      <c r="H3" s="89" t="s">
        <v>292</v>
      </c>
      <c r="I3" s="89" t="s">
        <v>8</v>
      </c>
      <c r="J3" s="89" t="s">
        <v>7</v>
      </c>
      <c r="K3" s="89" t="s">
        <v>9</v>
      </c>
      <c r="L3" s="89" t="s">
        <v>288</v>
      </c>
      <c r="M3" s="89" t="s">
        <v>11</v>
      </c>
      <c r="N3" s="89" t="s">
        <v>12</v>
      </c>
      <c r="O3" s="89" t="s">
        <v>13</v>
      </c>
      <c r="P3" s="89" t="s">
        <v>14</v>
      </c>
      <c r="Q3" s="89" t="s">
        <v>15</v>
      </c>
      <c r="R3" s="89" t="s">
        <v>16</v>
      </c>
      <c r="S3" s="89" t="s">
        <v>293</v>
      </c>
      <c r="T3" s="92" t="s">
        <v>17</v>
      </c>
      <c r="U3" s="92" t="s">
        <v>294</v>
      </c>
      <c r="V3" s="92" t="s">
        <v>313</v>
      </c>
      <c r="W3" s="89" t="s">
        <v>289</v>
      </c>
      <c r="X3" s="89" t="s">
        <v>295</v>
      </c>
      <c r="Y3" s="89" t="s">
        <v>20</v>
      </c>
      <c r="Z3" s="89" t="s">
        <v>21</v>
      </c>
      <c r="AA3" s="89" t="s">
        <v>22</v>
      </c>
      <c r="AB3" s="98" t="s">
        <v>23</v>
      </c>
      <c r="AC3" s="89" t="s">
        <v>24</v>
      </c>
      <c r="AD3" s="88" t="s">
        <v>296</v>
      </c>
      <c r="AE3" s="88" t="s">
        <v>297</v>
      </c>
      <c r="AF3" s="88" t="s">
        <v>25</v>
      </c>
      <c r="AG3" s="89" t="s">
        <v>26</v>
      </c>
      <c r="AH3" s="86" t="s">
        <v>27</v>
      </c>
    </row>
    <row r="4" spans="1:34" x14ac:dyDescent="0.25">
      <c r="A4" s="2" t="s">
        <v>96</v>
      </c>
      <c r="B4" s="10">
        <v>46890</v>
      </c>
      <c r="C4" s="10">
        <v>214657</v>
      </c>
      <c r="D4" s="10"/>
      <c r="E4" s="10">
        <v>1076535</v>
      </c>
      <c r="F4" s="10">
        <v>182045</v>
      </c>
      <c r="G4" s="10">
        <v>224830</v>
      </c>
      <c r="H4" s="10">
        <v>105185</v>
      </c>
      <c r="I4" s="10">
        <v>1081446.8899999999</v>
      </c>
      <c r="J4" s="10">
        <v>10686</v>
      </c>
      <c r="K4" s="10">
        <v>137061</v>
      </c>
      <c r="L4" s="10">
        <v>337711</v>
      </c>
      <c r="M4" s="10">
        <v>396708</v>
      </c>
      <c r="N4" s="10">
        <v>89444</v>
      </c>
      <c r="O4" s="10">
        <v>693089</v>
      </c>
      <c r="P4" s="10">
        <v>23051</v>
      </c>
      <c r="Q4" s="10">
        <v>202571</v>
      </c>
      <c r="R4" s="10">
        <v>20744</v>
      </c>
      <c r="S4" s="10">
        <v>69095</v>
      </c>
      <c r="T4" s="10">
        <v>919095</v>
      </c>
      <c r="U4" s="10">
        <v>61658</v>
      </c>
      <c r="V4" s="10">
        <v>195306</v>
      </c>
      <c r="W4" s="10">
        <v>39538</v>
      </c>
      <c r="X4" s="10">
        <v>259432</v>
      </c>
      <c r="Y4" s="10">
        <v>288264</v>
      </c>
      <c r="Z4" s="10">
        <v>684119</v>
      </c>
      <c r="AA4" s="10">
        <v>95800</v>
      </c>
      <c r="AB4" s="61">
        <v>344384</v>
      </c>
      <c r="AC4" s="10">
        <v>1044302</v>
      </c>
      <c r="AD4" s="10">
        <v>2488439</v>
      </c>
      <c r="AE4" s="10">
        <v>1169728</v>
      </c>
      <c r="AF4" s="10">
        <v>1180214</v>
      </c>
      <c r="AG4" s="10">
        <v>228049</v>
      </c>
      <c r="AH4" s="11">
        <f t="shared" ref="AH4:AH15" si="0">SUM(B4:AG4)</f>
        <v>13910076.890000001</v>
      </c>
    </row>
    <row r="5" spans="1:34" ht="15" customHeight="1" x14ac:dyDescent="0.25">
      <c r="A5" s="2" t="s">
        <v>97</v>
      </c>
      <c r="B5" s="10">
        <v>705669</v>
      </c>
      <c r="C5" s="10">
        <v>974681</v>
      </c>
      <c r="D5" s="10">
        <v>71509649</v>
      </c>
      <c r="E5" s="10">
        <v>12610345</v>
      </c>
      <c r="F5" s="10">
        <v>6585226</v>
      </c>
      <c r="G5" s="10">
        <v>70236</v>
      </c>
      <c r="H5" s="10">
        <v>1138998</v>
      </c>
      <c r="I5" s="10"/>
      <c r="J5" s="10">
        <v>231294</v>
      </c>
      <c r="K5" s="10">
        <v>4446410</v>
      </c>
      <c r="L5" s="10">
        <v>2881686</v>
      </c>
      <c r="M5" s="10">
        <v>24724863</v>
      </c>
      <c r="N5" s="32">
        <v>11044018</v>
      </c>
      <c r="O5" s="10">
        <v>12106372</v>
      </c>
      <c r="P5" s="10">
        <v>168212</v>
      </c>
      <c r="Q5" s="10">
        <v>556397</v>
      </c>
      <c r="R5" s="10">
        <v>945010</v>
      </c>
      <c r="S5" s="10">
        <v>27488</v>
      </c>
      <c r="T5" s="10">
        <v>12397880</v>
      </c>
      <c r="U5" s="10">
        <v>14123</v>
      </c>
      <c r="V5" s="10">
        <v>1386140</v>
      </c>
      <c r="W5" s="10">
        <v>121774</v>
      </c>
      <c r="X5" s="10">
        <v>13205929</v>
      </c>
      <c r="Y5" s="10">
        <v>4239657</v>
      </c>
      <c r="Z5" s="10">
        <v>3345900</v>
      </c>
      <c r="AA5" s="10">
        <v>218991</v>
      </c>
      <c r="AB5" s="61">
        <v>4718</v>
      </c>
      <c r="AC5" s="10">
        <v>12605523</v>
      </c>
      <c r="AD5" s="10">
        <v>18250638</v>
      </c>
      <c r="AE5" s="10">
        <v>12881563</v>
      </c>
      <c r="AF5" s="10">
        <v>8889479</v>
      </c>
      <c r="AG5" s="10">
        <v>5507949</v>
      </c>
      <c r="AH5" s="11">
        <f t="shared" si="0"/>
        <v>243796818</v>
      </c>
    </row>
    <row r="6" spans="1:34" ht="15" customHeight="1" x14ac:dyDescent="0.25">
      <c r="A6" s="2" t="s">
        <v>98</v>
      </c>
      <c r="B6" s="10"/>
      <c r="C6" s="10"/>
      <c r="D6" s="10"/>
      <c r="E6" s="10"/>
      <c r="F6" s="10">
        <v>99579</v>
      </c>
      <c r="G6" s="10"/>
      <c r="H6" s="10">
        <v>2089348</v>
      </c>
      <c r="I6" s="10"/>
      <c r="J6" s="10"/>
      <c r="K6" s="10"/>
      <c r="L6" s="10"/>
      <c r="M6" s="10"/>
      <c r="N6" s="10">
        <v>205495</v>
      </c>
      <c r="O6" s="10"/>
      <c r="P6" s="10"/>
      <c r="Q6" s="10"/>
      <c r="R6" s="10">
        <v>1101709</v>
      </c>
      <c r="S6" s="10"/>
      <c r="T6" s="10">
        <v>13570069</v>
      </c>
      <c r="U6" s="10"/>
      <c r="V6" s="10"/>
      <c r="W6" s="10"/>
      <c r="X6" s="10"/>
      <c r="Y6" s="10"/>
      <c r="Z6" s="10"/>
      <c r="AA6" s="10"/>
      <c r="AB6" s="61"/>
      <c r="AC6" s="10"/>
      <c r="AD6" s="10">
        <v>666262</v>
      </c>
      <c r="AE6" s="10"/>
      <c r="AF6" s="10"/>
      <c r="AG6" s="10"/>
      <c r="AH6" s="11">
        <f t="shared" si="0"/>
        <v>17732462</v>
      </c>
    </row>
    <row r="7" spans="1:34" ht="15" customHeight="1" x14ac:dyDescent="0.25">
      <c r="A7" s="2" t="s">
        <v>99</v>
      </c>
      <c r="B7" s="10">
        <v>408171</v>
      </c>
      <c r="C7" s="10">
        <v>206529</v>
      </c>
      <c r="D7" s="10"/>
      <c r="E7" s="10">
        <v>11225032</v>
      </c>
      <c r="F7" s="10">
        <v>5245548</v>
      </c>
      <c r="G7" s="10">
        <v>711074</v>
      </c>
      <c r="H7" s="10">
        <v>9440518</v>
      </c>
      <c r="I7" s="10">
        <v>2424220.21</v>
      </c>
      <c r="J7" s="10">
        <v>117806</v>
      </c>
      <c r="K7" s="10">
        <v>1247277</v>
      </c>
      <c r="L7" s="10">
        <v>157999</v>
      </c>
      <c r="M7" s="10">
        <v>9102202</v>
      </c>
      <c r="N7" s="10">
        <v>32481120</v>
      </c>
      <c r="O7" s="10">
        <v>7691591</v>
      </c>
      <c r="P7" s="10">
        <v>314773</v>
      </c>
      <c r="Q7" s="10">
        <v>4698338</v>
      </c>
      <c r="R7" s="10">
        <v>3589435</v>
      </c>
      <c r="S7" s="10">
        <v>84321</v>
      </c>
      <c r="T7" s="10">
        <v>9876895</v>
      </c>
      <c r="U7" s="10">
        <v>188375</v>
      </c>
      <c r="V7" s="10">
        <v>236992</v>
      </c>
      <c r="W7" s="10">
        <v>173954</v>
      </c>
      <c r="X7" s="10">
        <v>7182607</v>
      </c>
      <c r="Y7" s="10">
        <v>1382177</v>
      </c>
      <c r="Z7" s="10">
        <v>2953650</v>
      </c>
      <c r="AA7" s="10">
        <v>3432422</v>
      </c>
      <c r="AB7" s="61">
        <v>1338971</v>
      </c>
      <c r="AC7" s="10">
        <v>15766289</v>
      </c>
      <c r="AD7" s="10">
        <v>9884550</v>
      </c>
      <c r="AE7" s="10">
        <v>5060243</v>
      </c>
      <c r="AF7" s="10">
        <v>3397436</v>
      </c>
      <c r="AG7" s="10">
        <v>1557723</v>
      </c>
      <c r="AH7" s="11">
        <f t="shared" si="0"/>
        <v>151578238.21000001</v>
      </c>
    </row>
    <row r="8" spans="1:34" ht="15" customHeight="1" x14ac:dyDescent="0.25">
      <c r="A8" s="2" t="s">
        <v>100</v>
      </c>
      <c r="B8" s="10"/>
      <c r="C8" s="10">
        <v>459841</v>
      </c>
      <c r="D8" s="10"/>
      <c r="E8" s="10">
        <v>3255078</v>
      </c>
      <c r="F8" s="10">
        <v>734499</v>
      </c>
      <c r="G8" s="10">
        <v>434120</v>
      </c>
      <c r="H8" s="10">
        <v>549772</v>
      </c>
      <c r="I8" s="10">
        <v>657034.87</v>
      </c>
      <c r="J8" s="10">
        <v>46304</v>
      </c>
      <c r="K8" s="10">
        <v>1655962</v>
      </c>
      <c r="L8" s="10">
        <v>6822512</v>
      </c>
      <c r="M8" s="10">
        <v>3972446</v>
      </c>
      <c r="N8" s="10">
        <v>3500028</v>
      </c>
      <c r="O8" s="10">
        <v>216967</v>
      </c>
      <c r="P8" s="10">
        <v>94908</v>
      </c>
      <c r="Q8" s="10">
        <v>290096</v>
      </c>
      <c r="R8" s="10">
        <v>306383</v>
      </c>
      <c r="S8" s="10">
        <v>276415</v>
      </c>
      <c r="T8" s="10">
        <v>6113384</v>
      </c>
      <c r="U8" s="10">
        <v>24705</v>
      </c>
      <c r="V8" s="10">
        <v>131589</v>
      </c>
      <c r="W8" s="10">
        <v>35202</v>
      </c>
      <c r="X8" s="10">
        <v>2943782</v>
      </c>
      <c r="Y8" s="10">
        <v>64865</v>
      </c>
      <c r="Z8" s="10">
        <v>1465701</v>
      </c>
      <c r="AA8" s="10">
        <v>40955</v>
      </c>
      <c r="AB8" s="61">
        <v>121870</v>
      </c>
      <c r="AC8" s="10">
        <v>2436624</v>
      </c>
      <c r="AD8" s="10">
        <v>15004362</v>
      </c>
      <c r="AE8" s="10"/>
      <c r="AF8" s="10"/>
      <c r="AG8" s="10">
        <v>68379</v>
      </c>
      <c r="AH8" s="11">
        <f t="shared" si="0"/>
        <v>51723783.870000005</v>
      </c>
    </row>
    <row r="9" spans="1:34" ht="15" customHeight="1" x14ac:dyDescent="0.25">
      <c r="A9" s="2" t="s">
        <v>101</v>
      </c>
      <c r="B9" s="10">
        <v>249172</v>
      </c>
      <c r="C9" s="10">
        <v>795411</v>
      </c>
      <c r="D9" s="10">
        <v>3478319</v>
      </c>
      <c r="E9" s="10">
        <v>4478488</v>
      </c>
      <c r="F9" s="10">
        <v>1619887</v>
      </c>
      <c r="G9" s="10">
        <v>1535362</v>
      </c>
      <c r="H9" s="10">
        <v>631871</v>
      </c>
      <c r="I9" s="10">
        <v>768011.82</v>
      </c>
      <c r="J9" s="10">
        <v>180372</v>
      </c>
      <c r="K9" s="10">
        <v>2128299</v>
      </c>
      <c r="L9" s="10">
        <v>981237</v>
      </c>
      <c r="M9" s="10">
        <v>5353313</v>
      </c>
      <c r="N9" s="10">
        <v>6407124</v>
      </c>
      <c r="O9" s="10">
        <v>649614</v>
      </c>
      <c r="P9" s="10">
        <v>5936</v>
      </c>
      <c r="Q9" s="10">
        <v>740974</v>
      </c>
      <c r="R9" s="10">
        <v>624041</v>
      </c>
      <c r="S9" s="10">
        <v>44465</v>
      </c>
      <c r="T9" s="10">
        <v>28138794</v>
      </c>
      <c r="U9" s="10">
        <v>515980</v>
      </c>
      <c r="V9" s="10">
        <v>1809083</v>
      </c>
      <c r="W9" s="10">
        <v>199626</v>
      </c>
      <c r="X9" s="10">
        <v>4874588</v>
      </c>
      <c r="Y9" s="10">
        <v>1501260</v>
      </c>
      <c r="Z9" s="10">
        <v>483961</v>
      </c>
      <c r="AA9" s="10">
        <v>351526</v>
      </c>
      <c r="AB9" s="61">
        <v>1928280</v>
      </c>
      <c r="AC9" s="10">
        <v>2296958</v>
      </c>
      <c r="AD9" s="10">
        <v>39514834</v>
      </c>
      <c r="AE9" s="10">
        <v>20837943</v>
      </c>
      <c r="AF9" s="10">
        <v>30898710</v>
      </c>
      <c r="AG9" s="10">
        <v>689060</v>
      </c>
      <c r="AH9" s="11">
        <f t="shared" si="0"/>
        <v>164712499.81999999</v>
      </c>
    </row>
    <row r="10" spans="1:34" ht="15" customHeight="1" x14ac:dyDescent="0.25">
      <c r="A10" s="2" t="s">
        <v>102</v>
      </c>
      <c r="B10" s="10">
        <v>23898</v>
      </c>
      <c r="C10" s="10">
        <v>104957</v>
      </c>
      <c r="D10" s="10"/>
      <c r="E10" s="10"/>
      <c r="F10" s="10"/>
      <c r="G10" s="10"/>
      <c r="H10" s="10"/>
      <c r="I10" s="10"/>
      <c r="J10" s="10">
        <v>14487</v>
      </c>
      <c r="K10" s="10"/>
      <c r="L10" s="10"/>
      <c r="M10" s="10"/>
      <c r="N10" s="10">
        <v>129002</v>
      </c>
      <c r="O10" s="10">
        <v>2402</v>
      </c>
      <c r="P10" s="10">
        <v>36946</v>
      </c>
      <c r="Q10" s="10"/>
      <c r="R10" s="10"/>
      <c r="S10" s="10"/>
      <c r="T10" s="10"/>
      <c r="U10" s="10">
        <v>11611</v>
      </c>
      <c r="V10" s="10"/>
      <c r="W10" s="10"/>
      <c r="X10" s="10"/>
      <c r="Y10" s="10"/>
      <c r="Z10" s="10">
        <v>143393</v>
      </c>
      <c r="AA10" s="10"/>
      <c r="AB10" s="61"/>
      <c r="AC10" s="10"/>
      <c r="AD10" s="10"/>
      <c r="AE10" s="10"/>
      <c r="AF10" s="10"/>
      <c r="AG10" s="10"/>
      <c r="AH10" s="11">
        <f t="shared" si="0"/>
        <v>466696</v>
      </c>
    </row>
    <row r="11" spans="1:34" ht="15" customHeight="1" x14ac:dyDescent="0.25">
      <c r="A11" s="2" t="s">
        <v>103</v>
      </c>
      <c r="B11" s="10">
        <v>1552215</v>
      </c>
      <c r="C11" s="10">
        <v>2071123</v>
      </c>
      <c r="D11" s="10">
        <v>72178569</v>
      </c>
      <c r="E11" s="10">
        <v>105881442</v>
      </c>
      <c r="F11" s="10">
        <f>28006031+207927</f>
        <v>28213958</v>
      </c>
      <c r="G11" s="10">
        <v>5685412</v>
      </c>
      <c r="H11" s="10">
        <v>67408196</v>
      </c>
      <c r="I11" s="10">
        <v>72859048.209999993</v>
      </c>
      <c r="J11" s="10">
        <v>1676849</v>
      </c>
      <c r="K11" s="10">
        <v>27448898</v>
      </c>
      <c r="L11" s="10">
        <v>26028546</v>
      </c>
      <c r="M11" s="10">
        <v>68982733</v>
      </c>
      <c r="N11" s="10">
        <v>196388978</v>
      </c>
      <c r="O11" s="10">
        <v>67303495</v>
      </c>
      <c r="P11" s="10">
        <v>4030419</v>
      </c>
      <c r="Q11" s="10">
        <v>11922083</v>
      </c>
      <c r="R11" s="10">
        <v>17802546</v>
      </c>
      <c r="S11" s="10">
        <v>1340290</v>
      </c>
      <c r="T11" s="10">
        <v>209388930</v>
      </c>
      <c r="U11" s="10">
        <v>1088032</v>
      </c>
      <c r="V11" s="10">
        <v>2937027</v>
      </c>
      <c r="W11" s="10">
        <v>3425900</v>
      </c>
      <c r="X11" s="10">
        <f>79492414+ 68864</f>
        <v>79561278</v>
      </c>
      <c r="Y11" s="10">
        <v>42275736</v>
      </c>
      <c r="Z11" s="10">
        <v>36505029</v>
      </c>
      <c r="AA11" s="10">
        <v>75493194</v>
      </c>
      <c r="AB11" s="61">
        <v>13685857</v>
      </c>
      <c r="AC11" s="10">
        <v>76208375</v>
      </c>
      <c r="AD11" s="10">
        <v>311547751</v>
      </c>
      <c r="AE11" s="10">
        <v>167249975</v>
      </c>
      <c r="AF11" s="10">
        <v>244150968</v>
      </c>
      <c r="AG11" s="10">
        <v>17385232</v>
      </c>
      <c r="AH11" s="11">
        <f t="shared" si="0"/>
        <v>2059678084.21</v>
      </c>
    </row>
    <row r="12" spans="1:34" ht="15" customHeight="1" x14ac:dyDescent="0.25">
      <c r="A12" s="2" t="s">
        <v>104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>
        <v>3700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61"/>
      <c r="AC12" s="10">
        <v>3600</v>
      </c>
      <c r="AD12" s="10"/>
      <c r="AE12" s="10"/>
      <c r="AF12" s="10"/>
      <c r="AG12" s="10"/>
      <c r="AH12" s="11">
        <f t="shared" si="0"/>
        <v>7300</v>
      </c>
    </row>
    <row r="13" spans="1:34" ht="15" customHeight="1" x14ac:dyDescent="0.25">
      <c r="A13" s="2" t="s">
        <v>105</v>
      </c>
      <c r="B13" s="10"/>
      <c r="C13" s="10">
        <v>1305</v>
      </c>
      <c r="D13" s="10">
        <v>748914</v>
      </c>
      <c r="E13" s="10">
        <v>60354</v>
      </c>
      <c r="F13" s="10">
        <v>310805</v>
      </c>
      <c r="G13" s="10">
        <f>26545+2783</f>
        <v>29328</v>
      </c>
      <c r="H13" s="10">
        <f>47089+11178</f>
        <v>58267</v>
      </c>
      <c r="I13" s="10">
        <v>19103.53</v>
      </c>
      <c r="J13" s="10">
        <v>263</v>
      </c>
      <c r="K13" s="10">
        <f>120975+20996</f>
        <v>141971</v>
      </c>
      <c r="L13" s="10">
        <f>13764+584</f>
        <v>14348</v>
      </c>
      <c r="M13" s="10">
        <f>269192+45947</f>
        <v>315139</v>
      </c>
      <c r="N13" s="10">
        <f>3226454+460789</f>
        <v>3687243</v>
      </c>
      <c r="O13" s="10">
        <f>185802+ 48653</f>
        <v>234455</v>
      </c>
      <c r="P13" s="10">
        <v>1202</v>
      </c>
      <c r="Q13" s="10">
        <f>3647+71702</f>
        <v>75349</v>
      </c>
      <c r="R13" s="10">
        <v>31518</v>
      </c>
      <c r="S13" s="10">
        <v>9095</v>
      </c>
      <c r="T13" s="10">
        <v>1107287</v>
      </c>
      <c r="U13" s="10">
        <v>483</v>
      </c>
      <c r="V13" s="10">
        <f>13969+4914</f>
        <v>18883</v>
      </c>
      <c r="W13" s="10">
        <v>121</v>
      </c>
      <c r="X13" s="10">
        <f>750198+148227</f>
        <v>898425</v>
      </c>
      <c r="Y13" s="10">
        <f>12476+67343</f>
        <v>79819</v>
      </c>
      <c r="Z13" s="10">
        <f>67100+9753</f>
        <v>76853</v>
      </c>
      <c r="AA13" s="10">
        <v>238120</v>
      </c>
      <c r="AB13" s="61">
        <v>169067</v>
      </c>
      <c r="AC13" s="10">
        <v>310971</v>
      </c>
      <c r="AD13" s="10">
        <v>2298962</v>
      </c>
      <c r="AE13" s="10">
        <v>1156682</v>
      </c>
      <c r="AF13" s="10">
        <v>1943808</v>
      </c>
      <c r="AG13" s="10">
        <f>95378+17876</f>
        <v>113254</v>
      </c>
      <c r="AH13" s="11">
        <f t="shared" si="0"/>
        <v>14151394.530000001</v>
      </c>
    </row>
    <row r="14" spans="1:34" x14ac:dyDescent="0.25">
      <c r="A14" s="2" t="s">
        <v>38</v>
      </c>
      <c r="B14" s="10">
        <f>B15-B13-B12-B11-B10-B9-B8-B7-B6-B5-B4</f>
        <v>307343</v>
      </c>
      <c r="C14" s="10">
        <f t="shared" ref="C14:AG14" si="1">C15-C13-C12-C11-C10-C9-C8-C7-C6-C5-C4</f>
        <v>611378</v>
      </c>
      <c r="D14" s="10">
        <f t="shared" si="1"/>
        <v>67928710</v>
      </c>
      <c r="E14" s="10">
        <f t="shared" si="1"/>
        <v>4446446</v>
      </c>
      <c r="F14" s="10">
        <f t="shared" si="1"/>
        <v>889989</v>
      </c>
      <c r="G14" s="10">
        <f t="shared" si="1"/>
        <v>801640</v>
      </c>
      <c r="H14" s="10">
        <f t="shared" si="1"/>
        <v>2026624</v>
      </c>
      <c r="I14" s="10">
        <f t="shared" si="1"/>
        <v>940740.15000001225</v>
      </c>
      <c r="J14" s="10">
        <f t="shared" si="1"/>
        <v>34798</v>
      </c>
      <c r="K14" s="10">
        <f t="shared" si="1"/>
        <v>419105</v>
      </c>
      <c r="L14" s="10">
        <f t="shared" si="1"/>
        <v>1017590</v>
      </c>
      <c r="M14" s="10">
        <f t="shared" si="1"/>
        <v>595091</v>
      </c>
      <c r="N14" s="10">
        <f t="shared" si="1"/>
        <v>1883967</v>
      </c>
      <c r="O14" s="10">
        <f t="shared" si="1"/>
        <v>1473590</v>
      </c>
      <c r="P14" s="10">
        <f t="shared" si="1"/>
        <v>408988</v>
      </c>
      <c r="Q14" s="10">
        <f t="shared" si="1"/>
        <v>378653</v>
      </c>
      <c r="R14" s="10">
        <f t="shared" si="1"/>
        <v>412976</v>
      </c>
      <c r="S14" s="10">
        <f t="shared" si="1"/>
        <v>683078</v>
      </c>
      <c r="T14" s="10">
        <f t="shared" si="1"/>
        <v>2458460</v>
      </c>
      <c r="U14" s="10">
        <f t="shared" si="1"/>
        <v>2258</v>
      </c>
      <c r="V14" s="10">
        <f t="shared" si="1"/>
        <v>379898</v>
      </c>
      <c r="W14" s="10">
        <f t="shared" si="1"/>
        <v>22412</v>
      </c>
      <c r="X14" s="10">
        <f t="shared" si="1"/>
        <v>2602457</v>
      </c>
      <c r="Y14" s="10">
        <f t="shared" si="1"/>
        <v>286474</v>
      </c>
      <c r="Z14" s="10">
        <f t="shared" si="1"/>
        <v>460201</v>
      </c>
      <c r="AA14" s="10">
        <f t="shared" si="1"/>
        <v>647781</v>
      </c>
      <c r="AB14" s="61">
        <f t="shared" si="1"/>
        <v>3775289</v>
      </c>
      <c r="AC14" s="10">
        <f t="shared" si="1"/>
        <v>1710122</v>
      </c>
      <c r="AD14" s="10">
        <f t="shared" si="1"/>
        <v>547250</v>
      </c>
      <c r="AE14" s="10">
        <f t="shared" si="1"/>
        <v>24523104</v>
      </c>
      <c r="AF14" s="10">
        <f t="shared" si="1"/>
        <v>1330</v>
      </c>
      <c r="AG14" s="10">
        <f t="shared" si="1"/>
        <v>474141</v>
      </c>
      <c r="AH14" s="11">
        <f t="shared" si="0"/>
        <v>123151883.15000001</v>
      </c>
    </row>
    <row r="15" spans="1:34" s="8" customFormat="1" x14ac:dyDescent="0.25">
      <c r="A15" s="3" t="s">
        <v>48</v>
      </c>
      <c r="B15" s="11">
        <v>3293358</v>
      </c>
      <c r="C15" s="11">
        <v>5439882</v>
      </c>
      <c r="D15" s="11">
        <v>215844161</v>
      </c>
      <c r="E15" s="11">
        <v>143033720</v>
      </c>
      <c r="F15" s="11">
        <v>43881536</v>
      </c>
      <c r="G15" s="11">
        <v>9492002</v>
      </c>
      <c r="H15" s="11">
        <v>83448779</v>
      </c>
      <c r="I15" s="11">
        <v>78749605.680000007</v>
      </c>
      <c r="J15" s="11">
        <v>2312859</v>
      </c>
      <c r="K15" s="11">
        <v>37624983</v>
      </c>
      <c r="L15" s="11">
        <v>38241629</v>
      </c>
      <c r="M15" s="11">
        <v>113446195</v>
      </c>
      <c r="N15" s="11">
        <v>255816419</v>
      </c>
      <c r="O15" s="11">
        <v>90371575</v>
      </c>
      <c r="P15" s="11">
        <v>5084435</v>
      </c>
      <c r="Q15" s="11">
        <v>18864461</v>
      </c>
      <c r="R15" s="11">
        <v>24834362</v>
      </c>
      <c r="S15" s="11">
        <v>2534247</v>
      </c>
      <c r="T15" s="11">
        <v>283970794</v>
      </c>
      <c r="U15" s="11">
        <v>1907225</v>
      </c>
      <c r="V15" s="11">
        <v>7094918</v>
      </c>
      <c r="W15" s="11">
        <v>4018527</v>
      </c>
      <c r="X15" s="11">
        <v>111528498</v>
      </c>
      <c r="Y15" s="11">
        <v>50118252</v>
      </c>
      <c r="Z15" s="11">
        <v>46118807</v>
      </c>
      <c r="AA15" s="11">
        <v>80518789</v>
      </c>
      <c r="AB15" s="63">
        <v>21368436</v>
      </c>
      <c r="AC15" s="11">
        <v>112382764</v>
      </c>
      <c r="AD15" s="11">
        <v>400203048</v>
      </c>
      <c r="AE15" s="11">
        <v>232879238</v>
      </c>
      <c r="AF15" s="11">
        <v>290461945</v>
      </c>
      <c r="AG15" s="11">
        <v>26023787</v>
      </c>
      <c r="AH15" s="11">
        <f t="shared" si="0"/>
        <v>2840909236.6800003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6.5703125" style="52" bestFit="1" customWidth="1"/>
    <col min="2" max="4" width="12.85546875" style="7" customWidth="1"/>
    <col min="5" max="5" width="12.85546875" style="52" customWidth="1"/>
    <col min="6" max="6" width="12.85546875" style="55" customWidth="1"/>
    <col min="7" max="7" width="12.85546875" style="7" customWidth="1"/>
    <col min="8" max="10" width="12.85546875" style="52" customWidth="1"/>
    <col min="11" max="11" width="12.85546875" style="55" customWidth="1"/>
    <col min="12" max="16" width="12.85546875" style="52" customWidth="1"/>
    <col min="17" max="17" width="12.85546875" style="7" customWidth="1"/>
    <col min="18" max="18" width="14.7109375" style="52" customWidth="1"/>
    <col min="19" max="19" width="12.85546875" style="52" customWidth="1"/>
    <col min="20" max="20" width="14.85546875" style="52" customWidth="1"/>
    <col min="21" max="21" width="12.85546875" style="80" customWidth="1"/>
    <col min="22" max="22" width="12.85546875" style="52" customWidth="1"/>
    <col min="23" max="23" width="14" style="52" customWidth="1"/>
    <col min="24" max="25" width="12.85546875" style="52" customWidth="1"/>
    <col min="26" max="26" width="12.85546875" style="55" customWidth="1"/>
    <col min="27" max="30" width="12.85546875" style="52" customWidth="1"/>
    <col min="31" max="31" width="12.85546875" style="55" customWidth="1"/>
    <col min="32" max="32" width="12.85546875" style="7" customWidth="1"/>
    <col min="33" max="35" width="12.85546875" style="52" customWidth="1"/>
    <col min="36" max="36" width="12.85546875" style="55" customWidth="1"/>
    <col min="37" max="37" width="12.85546875" style="7" customWidth="1"/>
    <col min="38" max="40" width="12.85546875" style="52" customWidth="1"/>
    <col min="41" max="41" width="12.85546875" style="55" customWidth="1"/>
    <col min="42" max="42" width="12.85546875" style="52" customWidth="1"/>
    <col min="43" max="45" width="12.85546875" style="7" customWidth="1"/>
    <col min="46" max="46" width="12.85546875" style="52" customWidth="1"/>
    <col min="47" max="50" width="12.85546875" style="7" customWidth="1"/>
    <col min="51" max="51" width="12.85546875" style="55" customWidth="1"/>
    <col min="52" max="55" width="12.85546875" style="7" customWidth="1"/>
    <col min="56" max="56" width="12.85546875" style="55" customWidth="1"/>
    <col min="57" max="59" width="12.85546875" style="7" customWidth="1"/>
    <col min="60" max="60" width="12.85546875" style="52" customWidth="1"/>
    <col min="61" max="61" width="12.85546875" style="79" customWidth="1"/>
    <col min="62" max="65" width="12.85546875" style="7" customWidth="1"/>
    <col min="66" max="67" width="12.85546875" style="52" customWidth="1"/>
    <col min="68" max="70" width="12.85546875" style="7" customWidth="1"/>
    <col min="71" max="71" width="12.85546875" style="52" customWidth="1"/>
    <col min="72" max="75" width="12.85546875" style="7" customWidth="1"/>
    <col min="76" max="76" width="12.85546875" style="55" customWidth="1"/>
    <col min="77" max="77" width="12.85546875" style="52" customWidth="1"/>
    <col min="78" max="80" width="12.85546875" style="7" customWidth="1"/>
    <col min="81" max="82" width="12.85546875" style="52" customWidth="1"/>
    <col min="83" max="85" width="12.85546875" style="7" customWidth="1"/>
    <col min="86" max="92" width="12.85546875" style="52" customWidth="1"/>
    <col min="93" max="95" width="12.85546875" style="7" customWidth="1"/>
    <col min="96" max="96" width="12.85546875" style="82" customWidth="1"/>
    <col min="97" max="97" width="12.85546875" style="7" customWidth="1"/>
    <col min="98" max="100" width="12.85546875" style="52" customWidth="1"/>
    <col min="101" max="101" width="12.85546875" style="55" customWidth="1"/>
    <col min="102" max="102" width="12.85546875" style="7" customWidth="1"/>
    <col min="103" max="105" width="12.85546875" style="52" customWidth="1"/>
    <col min="106" max="106" width="12.85546875" style="55" customWidth="1"/>
    <col min="107" max="107" width="12.85546875" style="52" customWidth="1"/>
    <col min="108" max="110" width="12.85546875" style="7" customWidth="1"/>
    <col min="111" max="111" width="12.85546875" style="52" customWidth="1"/>
    <col min="112" max="115" width="12.85546875" style="7" customWidth="1"/>
    <col min="116" max="116" width="12.85546875" style="55" customWidth="1"/>
    <col min="117" max="117" width="12.85546875" style="7" customWidth="1"/>
    <col min="118" max="121" width="12.85546875" style="52" customWidth="1"/>
    <col min="122" max="122" width="12.85546875" style="7" customWidth="1"/>
    <col min="123" max="125" width="12.85546875" style="52" customWidth="1"/>
    <col min="126" max="126" width="12.85546875" style="55" customWidth="1"/>
    <col min="127" max="127" width="12.85546875" style="7" customWidth="1"/>
    <col min="128" max="130" width="12.85546875" style="52" customWidth="1"/>
    <col min="131" max="131" width="12.85546875" style="55" customWidth="1"/>
    <col min="132" max="132" width="12.85546875" style="82" customWidth="1"/>
    <col min="133" max="134" width="12.85546875" style="55" customWidth="1"/>
    <col min="135" max="135" width="12.85546875" style="84" customWidth="1"/>
    <col min="136" max="136" width="12.85546875" style="55" customWidth="1"/>
    <col min="137" max="137" width="12.85546875" style="7" customWidth="1"/>
    <col min="138" max="140" width="12.85546875" style="52" customWidth="1"/>
    <col min="141" max="141" width="12.85546875" style="55" customWidth="1"/>
    <col min="142" max="146" width="12.85546875" style="52" customWidth="1"/>
    <col min="147" max="147" width="12.85546875" style="7" customWidth="1"/>
    <col min="148" max="150" width="12.85546875" style="52" customWidth="1"/>
    <col min="151" max="151" width="12.85546875" style="79" customWidth="1"/>
    <col min="152" max="155" width="12.85546875" style="7" customWidth="1"/>
    <col min="156" max="156" width="12.85546875" style="55" customWidth="1"/>
    <col min="157" max="157" width="12.85546875" style="7" customWidth="1"/>
    <col min="158" max="160" width="12.85546875" style="52" customWidth="1"/>
    <col min="161" max="161" width="12.85546875" style="55" customWidth="1"/>
    <col min="162" max="16384" width="9.140625" style="52"/>
  </cols>
  <sheetData>
    <row r="1" spans="1:161" ht="34.5" x14ac:dyDescent="0.25">
      <c r="A1" s="66" t="s">
        <v>279</v>
      </c>
    </row>
    <row r="2" spans="1:161" x14ac:dyDescent="0.25">
      <c r="A2" s="53" t="s">
        <v>0</v>
      </c>
      <c r="B2" s="109" t="s">
        <v>1</v>
      </c>
      <c r="C2" s="109"/>
      <c r="D2" s="109"/>
      <c r="E2" s="109"/>
      <c r="F2" s="109"/>
      <c r="G2" s="109" t="s">
        <v>290</v>
      </c>
      <c r="H2" s="109"/>
      <c r="I2" s="109"/>
      <c r="J2" s="109"/>
      <c r="K2" s="109"/>
      <c r="L2" s="109" t="s">
        <v>3</v>
      </c>
      <c r="M2" s="109"/>
      <c r="N2" s="109"/>
      <c r="O2" s="109"/>
      <c r="P2" s="109"/>
      <c r="Q2" s="109" t="s">
        <v>4</v>
      </c>
      <c r="R2" s="109"/>
      <c r="S2" s="109"/>
      <c r="T2" s="109"/>
      <c r="U2" s="109"/>
      <c r="V2" s="109" t="s">
        <v>5</v>
      </c>
      <c r="W2" s="109"/>
      <c r="X2" s="109"/>
      <c r="Y2" s="109"/>
      <c r="Z2" s="109"/>
      <c r="AA2" s="109" t="s">
        <v>291</v>
      </c>
      <c r="AB2" s="109"/>
      <c r="AC2" s="109"/>
      <c r="AD2" s="109"/>
      <c r="AE2" s="109"/>
      <c r="AF2" s="110" t="s">
        <v>292</v>
      </c>
      <c r="AG2" s="111"/>
      <c r="AH2" s="111"/>
      <c r="AI2" s="111"/>
      <c r="AJ2" s="112"/>
      <c r="AK2" s="110" t="s">
        <v>8</v>
      </c>
      <c r="AL2" s="111"/>
      <c r="AM2" s="111"/>
      <c r="AN2" s="111"/>
      <c r="AO2" s="112"/>
      <c r="AP2" s="110" t="s">
        <v>7</v>
      </c>
      <c r="AQ2" s="111"/>
      <c r="AR2" s="111"/>
      <c r="AS2" s="111"/>
      <c r="AT2" s="112"/>
      <c r="AU2" s="110" t="s">
        <v>9</v>
      </c>
      <c r="AV2" s="111"/>
      <c r="AW2" s="111"/>
      <c r="AX2" s="111"/>
      <c r="AY2" s="112"/>
      <c r="AZ2" s="110" t="s">
        <v>288</v>
      </c>
      <c r="BA2" s="111"/>
      <c r="BB2" s="111"/>
      <c r="BC2" s="111"/>
      <c r="BD2" s="112"/>
      <c r="BE2" s="110" t="s">
        <v>11</v>
      </c>
      <c r="BF2" s="111"/>
      <c r="BG2" s="111"/>
      <c r="BH2" s="111"/>
      <c r="BI2" s="112"/>
      <c r="BJ2" s="110" t="s">
        <v>12</v>
      </c>
      <c r="BK2" s="111"/>
      <c r="BL2" s="111"/>
      <c r="BM2" s="111"/>
      <c r="BN2" s="112"/>
      <c r="BO2" s="110" t="s">
        <v>13</v>
      </c>
      <c r="BP2" s="111"/>
      <c r="BQ2" s="111"/>
      <c r="BR2" s="111"/>
      <c r="BS2" s="112"/>
      <c r="BT2" s="110" t="s">
        <v>14</v>
      </c>
      <c r="BU2" s="111"/>
      <c r="BV2" s="111"/>
      <c r="BW2" s="111"/>
      <c r="BX2" s="112"/>
      <c r="BY2" s="110" t="s">
        <v>15</v>
      </c>
      <c r="BZ2" s="111"/>
      <c r="CA2" s="111"/>
      <c r="CB2" s="111"/>
      <c r="CC2" s="112"/>
      <c r="CD2" s="110" t="s">
        <v>16</v>
      </c>
      <c r="CE2" s="111"/>
      <c r="CF2" s="111"/>
      <c r="CG2" s="111"/>
      <c r="CH2" s="112"/>
      <c r="CI2" s="110" t="s">
        <v>293</v>
      </c>
      <c r="CJ2" s="111"/>
      <c r="CK2" s="111"/>
      <c r="CL2" s="111"/>
      <c r="CM2" s="112"/>
      <c r="CN2" s="110" t="s">
        <v>17</v>
      </c>
      <c r="CO2" s="111"/>
      <c r="CP2" s="111"/>
      <c r="CQ2" s="111"/>
      <c r="CR2" s="112"/>
      <c r="CS2" s="110" t="s">
        <v>294</v>
      </c>
      <c r="CT2" s="111"/>
      <c r="CU2" s="111"/>
      <c r="CV2" s="111"/>
      <c r="CW2" s="112"/>
      <c r="CX2" s="110" t="s">
        <v>313</v>
      </c>
      <c r="CY2" s="111"/>
      <c r="CZ2" s="111"/>
      <c r="DA2" s="111"/>
      <c r="DB2" s="112"/>
      <c r="DC2" s="110" t="s">
        <v>289</v>
      </c>
      <c r="DD2" s="111"/>
      <c r="DE2" s="111"/>
      <c r="DF2" s="111"/>
      <c r="DG2" s="112"/>
      <c r="DH2" s="110" t="s">
        <v>295</v>
      </c>
      <c r="DI2" s="111"/>
      <c r="DJ2" s="111"/>
      <c r="DK2" s="111"/>
      <c r="DL2" s="112"/>
      <c r="DM2" s="109" t="s">
        <v>20</v>
      </c>
      <c r="DN2" s="109"/>
      <c r="DO2" s="109"/>
      <c r="DP2" s="109"/>
      <c r="DQ2" s="109"/>
      <c r="DR2" s="109" t="s">
        <v>21</v>
      </c>
      <c r="DS2" s="109"/>
      <c r="DT2" s="109"/>
      <c r="DU2" s="109"/>
      <c r="DV2" s="109"/>
      <c r="DW2" s="109" t="s">
        <v>22</v>
      </c>
      <c r="DX2" s="109"/>
      <c r="DY2" s="109"/>
      <c r="DZ2" s="109"/>
      <c r="EA2" s="109"/>
      <c r="EB2" s="109" t="s">
        <v>23</v>
      </c>
      <c r="EC2" s="109"/>
      <c r="ED2" s="109"/>
      <c r="EE2" s="109"/>
      <c r="EF2" s="109"/>
      <c r="EG2" s="109" t="s">
        <v>24</v>
      </c>
      <c r="EH2" s="109"/>
      <c r="EI2" s="109"/>
      <c r="EJ2" s="109"/>
      <c r="EK2" s="109"/>
      <c r="EL2" s="109" t="s">
        <v>296</v>
      </c>
      <c r="EM2" s="109"/>
      <c r="EN2" s="109"/>
      <c r="EO2" s="109"/>
      <c r="EP2" s="109"/>
      <c r="EQ2" s="109" t="s">
        <v>297</v>
      </c>
      <c r="ER2" s="109"/>
      <c r="ES2" s="109"/>
      <c r="ET2" s="109"/>
      <c r="EU2" s="109"/>
      <c r="EV2" s="109" t="s">
        <v>25</v>
      </c>
      <c r="EW2" s="109"/>
      <c r="EX2" s="109"/>
      <c r="EY2" s="109"/>
      <c r="EZ2" s="109"/>
      <c r="FA2" s="109" t="s">
        <v>26</v>
      </c>
      <c r="FB2" s="109"/>
      <c r="FC2" s="109"/>
      <c r="FD2" s="109"/>
      <c r="FE2" s="109"/>
    </row>
    <row r="3" spans="1:161" ht="15" customHeight="1" x14ac:dyDescent="0.25">
      <c r="A3" s="114" t="s">
        <v>175</v>
      </c>
      <c r="B3" s="113" t="s">
        <v>169</v>
      </c>
      <c r="C3" s="114" t="s">
        <v>170</v>
      </c>
      <c r="D3" s="114"/>
      <c r="E3" s="114"/>
      <c r="F3" s="115" t="s">
        <v>171</v>
      </c>
      <c r="G3" s="113" t="s">
        <v>169</v>
      </c>
      <c r="H3" s="114" t="s">
        <v>170</v>
      </c>
      <c r="I3" s="114"/>
      <c r="J3" s="114"/>
      <c r="K3" s="115" t="s">
        <v>171</v>
      </c>
      <c r="L3" s="114" t="s">
        <v>169</v>
      </c>
      <c r="M3" s="114" t="s">
        <v>170</v>
      </c>
      <c r="N3" s="114"/>
      <c r="O3" s="114"/>
      <c r="P3" s="114" t="s">
        <v>171</v>
      </c>
      <c r="Q3" s="113" t="s">
        <v>169</v>
      </c>
      <c r="R3" s="114" t="s">
        <v>170</v>
      </c>
      <c r="S3" s="114"/>
      <c r="T3" s="114"/>
      <c r="U3" s="116" t="s">
        <v>171</v>
      </c>
      <c r="V3" s="114" t="s">
        <v>169</v>
      </c>
      <c r="W3" s="114" t="s">
        <v>170</v>
      </c>
      <c r="X3" s="114"/>
      <c r="Y3" s="114"/>
      <c r="Z3" s="115" t="s">
        <v>171</v>
      </c>
      <c r="AA3" s="114" t="s">
        <v>169</v>
      </c>
      <c r="AB3" s="114" t="s">
        <v>170</v>
      </c>
      <c r="AC3" s="114"/>
      <c r="AD3" s="114"/>
      <c r="AE3" s="115" t="s">
        <v>171</v>
      </c>
      <c r="AF3" s="113" t="s">
        <v>169</v>
      </c>
      <c r="AG3" s="114" t="s">
        <v>170</v>
      </c>
      <c r="AH3" s="114"/>
      <c r="AI3" s="114"/>
      <c r="AJ3" s="115" t="s">
        <v>171</v>
      </c>
      <c r="AK3" s="113" t="s">
        <v>169</v>
      </c>
      <c r="AL3" s="114" t="s">
        <v>170</v>
      </c>
      <c r="AM3" s="114"/>
      <c r="AN3" s="114"/>
      <c r="AO3" s="115" t="s">
        <v>171</v>
      </c>
      <c r="AP3" s="114" t="s">
        <v>169</v>
      </c>
      <c r="AQ3" s="113" t="s">
        <v>170</v>
      </c>
      <c r="AR3" s="113"/>
      <c r="AS3" s="113"/>
      <c r="AT3" s="114" t="s">
        <v>171</v>
      </c>
      <c r="AU3" s="113" t="s">
        <v>169</v>
      </c>
      <c r="AV3" s="113" t="s">
        <v>170</v>
      </c>
      <c r="AW3" s="113"/>
      <c r="AX3" s="113"/>
      <c r="AY3" s="115" t="s">
        <v>171</v>
      </c>
      <c r="AZ3" s="113" t="s">
        <v>169</v>
      </c>
      <c r="BA3" s="113" t="s">
        <v>170</v>
      </c>
      <c r="BB3" s="113"/>
      <c r="BC3" s="113"/>
      <c r="BD3" s="115" t="s">
        <v>171</v>
      </c>
      <c r="BE3" s="113" t="s">
        <v>169</v>
      </c>
      <c r="BF3" s="114" t="s">
        <v>170</v>
      </c>
      <c r="BG3" s="114"/>
      <c r="BH3" s="114"/>
      <c r="BI3" s="117" t="s">
        <v>171</v>
      </c>
      <c r="BJ3" s="113" t="s">
        <v>169</v>
      </c>
      <c r="BK3" s="113" t="s">
        <v>170</v>
      </c>
      <c r="BL3" s="113"/>
      <c r="BM3" s="113"/>
      <c r="BN3" s="114" t="s">
        <v>171</v>
      </c>
      <c r="BO3" s="114" t="s">
        <v>169</v>
      </c>
      <c r="BP3" s="113" t="s">
        <v>170</v>
      </c>
      <c r="BQ3" s="113"/>
      <c r="BR3" s="113"/>
      <c r="BS3" s="114" t="s">
        <v>171</v>
      </c>
      <c r="BT3" s="113" t="s">
        <v>169</v>
      </c>
      <c r="BU3" s="113" t="s">
        <v>170</v>
      </c>
      <c r="BV3" s="113"/>
      <c r="BW3" s="113"/>
      <c r="BX3" s="115" t="s">
        <v>171</v>
      </c>
      <c r="BY3" s="114" t="s">
        <v>169</v>
      </c>
      <c r="BZ3" s="113" t="s">
        <v>170</v>
      </c>
      <c r="CA3" s="113"/>
      <c r="CB3" s="113"/>
      <c r="CC3" s="114" t="s">
        <v>171</v>
      </c>
      <c r="CD3" s="114" t="s">
        <v>169</v>
      </c>
      <c r="CE3" s="113" t="s">
        <v>170</v>
      </c>
      <c r="CF3" s="113"/>
      <c r="CG3" s="113"/>
      <c r="CH3" s="114" t="s">
        <v>171</v>
      </c>
      <c r="CI3" s="114" t="s">
        <v>169</v>
      </c>
      <c r="CJ3" s="114" t="s">
        <v>170</v>
      </c>
      <c r="CK3" s="114"/>
      <c r="CL3" s="114"/>
      <c r="CM3" s="114" t="s">
        <v>171</v>
      </c>
      <c r="CN3" s="114" t="s">
        <v>169</v>
      </c>
      <c r="CO3" s="113" t="s">
        <v>170</v>
      </c>
      <c r="CP3" s="113"/>
      <c r="CQ3" s="113"/>
      <c r="CR3" s="118" t="s">
        <v>171</v>
      </c>
      <c r="CS3" s="113" t="s">
        <v>169</v>
      </c>
      <c r="CT3" s="114" t="s">
        <v>170</v>
      </c>
      <c r="CU3" s="114"/>
      <c r="CV3" s="114"/>
      <c r="CW3" s="115" t="s">
        <v>171</v>
      </c>
      <c r="CX3" s="113" t="s">
        <v>169</v>
      </c>
      <c r="CY3" s="114" t="s">
        <v>170</v>
      </c>
      <c r="CZ3" s="114"/>
      <c r="DA3" s="114"/>
      <c r="DB3" s="115" t="s">
        <v>171</v>
      </c>
      <c r="DC3" s="114" t="s">
        <v>169</v>
      </c>
      <c r="DD3" s="113" t="s">
        <v>170</v>
      </c>
      <c r="DE3" s="113"/>
      <c r="DF3" s="113"/>
      <c r="DG3" s="119" t="s">
        <v>171</v>
      </c>
      <c r="DH3" s="113" t="s">
        <v>169</v>
      </c>
      <c r="DI3" s="113" t="s">
        <v>170</v>
      </c>
      <c r="DJ3" s="113"/>
      <c r="DK3" s="113"/>
      <c r="DL3" s="115" t="s">
        <v>171</v>
      </c>
      <c r="DM3" s="113" t="s">
        <v>169</v>
      </c>
      <c r="DN3" s="114" t="s">
        <v>170</v>
      </c>
      <c r="DO3" s="114"/>
      <c r="DP3" s="114"/>
      <c r="DQ3" s="119" t="s">
        <v>171</v>
      </c>
      <c r="DR3" s="113" t="s">
        <v>169</v>
      </c>
      <c r="DS3" s="114" t="s">
        <v>170</v>
      </c>
      <c r="DT3" s="114"/>
      <c r="DU3" s="114"/>
      <c r="DV3" s="115" t="s">
        <v>171</v>
      </c>
      <c r="DW3" s="113" t="s">
        <v>169</v>
      </c>
      <c r="DX3" s="114" t="s">
        <v>170</v>
      </c>
      <c r="DY3" s="114"/>
      <c r="DZ3" s="114"/>
      <c r="EA3" s="115" t="s">
        <v>171</v>
      </c>
      <c r="EB3" s="113" t="s">
        <v>169</v>
      </c>
      <c r="EC3" s="114" t="s">
        <v>170</v>
      </c>
      <c r="ED3" s="114"/>
      <c r="EE3" s="114"/>
      <c r="EF3" s="115" t="s">
        <v>171</v>
      </c>
      <c r="EG3" s="113" t="s">
        <v>169</v>
      </c>
      <c r="EH3" s="114" t="s">
        <v>170</v>
      </c>
      <c r="EI3" s="114"/>
      <c r="EJ3" s="114"/>
      <c r="EK3" s="115" t="s">
        <v>171</v>
      </c>
      <c r="EL3" s="114" t="s">
        <v>169</v>
      </c>
      <c r="EM3" s="114" t="s">
        <v>170</v>
      </c>
      <c r="EN3" s="114"/>
      <c r="EO3" s="114"/>
      <c r="EP3" s="119" t="s">
        <v>171</v>
      </c>
      <c r="EQ3" s="113" t="s">
        <v>169</v>
      </c>
      <c r="ER3" s="114" t="s">
        <v>170</v>
      </c>
      <c r="ES3" s="114"/>
      <c r="ET3" s="114"/>
      <c r="EU3" s="117" t="s">
        <v>171</v>
      </c>
      <c r="EV3" s="113" t="s">
        <v>169</v>
      </c>
      <c r="EW3" s="113" t="s">
        <v>170</v>
      </c>
      <c r="EX3" s="113"/>
      <c r="EY3" s="113"/>
      <c r="EZ3" s="115" t="s">
        <v>171</v>
      </c>
      <c r="FA3" s="113" t="s">
        <v>169</v>
      </c>
      <c r="FB3" s="114" t="s">
        <v>170</v>
      </c>
      <c r="FC3" s="114"/>
      <c r="FD3" s="114"/>
      <c r="FE3" s="115" t="s">
        <v>171</v>
      </c>
    </row>
    <row r="4" spans="1:161" ht="30" x14ac:dyDescent="0.25">
      <c r="A4" s="114"/>
      <c r="B4" s="113"/>
      <c r="C4" s="22" t="s">
        <v>172</v>
      </c>
      <c r="D4" s="22" t="s">
        <v>173</v>
      </c>
      <c r="E4" s="24" t="s">
        <v>174</v>
      </c>
      <c r="F4" s="115"/>
      <c r="G4" s="113"/>
      <c r="H4" s="24" t="s">
        <v>172</v>
      </c>
      <c r="I4" s="24" t="s">
        <v>173</v>
      </c>
      <c r="J4" s="24" t="s">
        <v>174</v>
      </c>
      <c r="K4" s="115"/>
      <c r="L4" s="114"/>
      <c r="M4" s="24" t="s">
        <v>172</v>
      </c>
      <c r="N4" s="24" t="s">
        <v>173</v>
      </c>
      <c r="O4" s="24" t="s">
        <v>174</v>
      </c>
      <c r="P4" s="114"/>
      <c r="Q4" s="113"/>
      <c r="R4" s="24" t="s">
        <v>172</v>
      </c>
      <c r="S4" s="24" t="s">
        <v>173</v>
      </c>
      <c r="T4" s="24" t="s">
        <v>174</v>
      </c>
      <c r="U4" s="116"/>
      <c r="V4" s="114"/>
      <c r="W4" s="24" t="s">
        <v>172</v>
      </c>
      <c r="X4" s="24" t="s">
        <v>173</v>
      </c>
      <c r="Y4" s="24" t="s">
        <v>174</v>
      </c>
      <c r="Z4" s="115"/>
      <c r="AA4" s="114"/>
      <c r="AB4" s="24" t="s">
        <v>172</v>
      </c>
      <c r="AC4" s="24" t="s">
        <v>173</v>
      </c>
      <c r="AD4" s="24" t="s">
        <v>174</v>
      </c>
      <c r="AE4" s="115"/>
      <c r="AF4" s="113"/>
      <c r="AG4" s="24" t="s">
        <v>172</v>
      </c>
      <c r="AH4" s="24" t="s">
        <v>173</v>
      </c>
      <c r="AI4" s="24" t="s">
        <v>174</v>
      </c>
      <c r="AJ4" s="115"/>
      <c r="AK4" s="113"/>
      <c r="AL4" s="24" t="s">
        <v>172</v>
      </c>
      <c r="AM4" s="24" t="s">
        <v>173</v>
      </c>
      <c r="AN4" s="24" t="s">
        <v>174</v>
      </c>
      <c r="AO4" s="115"/>
      <c r="AP4" s="114"/>
      <c r="AQ4" s="22" t="s">
        <v>172</v>
      </c>
      <c r="AR4" s="22" t="s">
        <v>173</v>
      </c>
      <c r="AS4" s="22" t="s">
        <v>174</v>
      </c>
      <c r="AT4" s="114"/>
      <c r="AU4" s="113"/>
      <c r="AV4" s="22" t="s">
        <v>172</v>
      </c>
      <c r="AW4" s="22" t="s">
        <v>173</v>
      </c>
      <c r="AX4" s="22" t="s">
        <v>174</v>
      </c>
      <c r="AY4" s="115"/>
      <c r="AZ4" s="113"/>
      <c r="BA4" s="22" t="s">
        <v>172</v>
      </c>
      <c r="BB4" s="22" t="s">
        <v>173</v>
      </c>
      <c r="BC4" s="22" t="s">
        <v>174</v>
      </c>
      <c r="BD4" s="115"/>
      <c r="BE4" s="113"/>
      <c r="BF4" s="22" t="s">
        <v>172</v>
      </c>
      <c r="BG4" s="22" t="s">
        <v>173</v>
      </c>
      <c r="BH4" s="24" t="s">
        <v>174</v>
      </c>
      <c r="BI4" s="117"/>
      <c r="BJ4" s="113"/>
      <c r="BK4" s="22" t="s">
        <v>172</v>
      </c>
      <c r="BL4" s="22" t="s">
        <v>173</v>
      </c>
      <c r="BM4" s="22" t="s">
        <v>174</v>
      </c>
      <c r="BN4" s="114"/>
      <c r="BO4" s="114"/>
      <c r="BP4" s="22" t="s">
        <v>172</v>
      </c>
      <c r="BQ4" s="22" t="s">
        <v>173</v>
      </c>
      <c r="BR4" s="22" t="s">
        <v>174</v>
      </c>
      <c r="BS4" s="114"/>
      <c r="BT4" s="113"/>
      <c r="BU4" s="22" t="s">
        <v>172</v>
      </c>
      <c r="BV4" s="22" t="s">
        <v>173</v>
      </c>
      <c r="BW4" s="22" t="s">
        <v>174</v>
      </c>
      <c r="BX4" s="115"/>
      <c r="BY4" s="114"/>
      <c r="BZ4" s="22" t="s">
        <v>172</v>
      </c>
      <c r="CA4" s="22" t="s">
        <v>173</v>
      </c>
      <c r="CB4" s="22" t="s">
        <v>174</v>
      </c>
      <c r="CC4" s="114"/>
      <c r="CD4" s="114"/>
      <c r="CE4" s="22" t="s">
        <v>172</v>
      </c>
      <c r="CF4" s="22" t="s">
        <v>173</v>
      </c>
      <c r="CG4" s="22" t="s">
        <v>174</v>
      </c>
      <c r="CH4" s="114"/>
      <c r="CI4" s="114"/>
      <c r="CJ4" s="24" t="s">
        <v>172</v>
      </c>
      <c r="CK4" s="24" t="s">
        <v>173</v>
      </c>
      <c r="CL4" s="24" t="s">
        <v>174</v>
      </c>
      <c r="CM4" s="114"/>
      <c r="CN4" s="114"/>
      <c r="CO4" s="22" t="s">
        <v>172</v>
      </c>
      <c r="CP4" s="22" t="s">
        <v>173</v>
      </c>
      <c r="CQ4" s="22" t="s">
        <v>174</v>
      </c>
      <c r="CR4" s="118"/>
      <c r="CS4" s="113"/>
      <c r="CT4" s="24" t="s">
        <v>172</v>
      </c>
      <c r="CU4" s="24" t="s">
        <v>173</v>
      </c>
      <c r="CV4" s="24" t="s">
        <v>174</v>
      </c>
      <c r="CW4" s="115"/>
      <c r="CX4" s="113"/>
      <c r="CY4" s="24" t="s">
        <v>172</v>
      </c>
      <c r="CZ4" s="24" t="s">
        <v>173</v>
      </c>
      <c r="DA4" s="24" t="s">
        <v>174</v>
      </c>
      <c r="DB4" s="115"/>
      <c r="DC4" s="114"/>
      <c r="DD4" s="22" t="s">
        <v>172</v>
      </c>
      <c r="DE4" s="22" t="s">
        <v>173</v>
      </c>
      <c r="DF4" s="22" t="s">
        <v>174</v>
      </c>
      <c r="DG4" s="119"/>
      <c r="DH4" s="113"/>
      <c r="DI4" s="22" t="s">
        <v>172</v>
      </c>
      <c r="DJ4" s="22" t="s">
        <v>173</v>
      </c>
      <c r="DK4" s="22" t="s">
        <v>174</v>
      </c>
      <c r="DL4" s="115"/>
      <c r="DM4" s="113"/>
      <c r="DN4" s="24" t="s">
        <v>172</v>
      </c>
      <c r="DO4" s="24" t="s">
        <v>173</v>
      </c>
      <c r="DP4" s="24" t="s">
        <v>174</v>
      </c>
      <c r="DQ4" s="119"/>
      <c r="DR4" s="113"/>
      <c r="DS4" s="24" t="s">
        <v>172</v>
      </c>
      <c r="DT4" s="24" t="s">
        <v>173</v>
      </c>
      <c r="DU4" s="24" t="s">
        <v>174</v>
      </c>
      <c r="DV4" s="115"/>
      <c r="DW4" s="113"/>
      <c r="DX4" s="24" t="s">
        <v>172</v>
      </c>
      <c r="DY4" s="24" t="s">
        <v>173</v>
      </c>
      <c r="DZ4" s="24" t="s">
        <v>174</v>
      </c>
      <c r="EA4" s="115"/>
      <c r="EB4" s="113"/>
      <c r="EC4" s="24" t="s">
        <v>172</v>
      </c>
      <c r="ED4" s="24" t="s">
        <v>173</v>
      </c>
      <c r="EE4" s="24" t="s">
        <v>174</v>
      </c>
      <c r="EF4" s="115"/>
      <c r="EG4" s="113"/>
      <c r="EH4" s="24" t="s">
        <v>172</v>
      </c>
      <c r="EI4" s="24" t="s">
        <v>173</v>
      </c>
      <c r="EJ4" s="24" t="s">
        <v>174</v>
      </c>
      <c r="EK4" s="115"/>
      <c r="EL4" s="114"/>
      <c r="EM4" s="24" t="s">
        <v>172</v>
      </c>
      <c r="EN4" s="24" t="s">
        <v>173</v>
      </c>
      <c r="EO4" s="24" t="s">
        <v>174</v>
      </c>
      <c r="EP4" s="119"/>
      <c r="EQ4" s="113"/>
      <c r="ER4" s="24" t="s">
        <v>172</v>
      </c>
      <c r="ES4" s="24" t="s">
        <v>173</v>
      </c>
      <c r="ET4" s="24" t="s">
        <v>174</v>
      </c>
      <c r="EU4" s="117"/>
      <c r="EV4" s="113"/>
      <c r="EW4" s="22" t="s">
        <v>172</v>
      </c>
      <c r="EX4" s="22" t="s">
        <v>173</v>
      </c>
      <c r="EY4" s="22" t="s">
        <v>174</v>
      </c>
      <c r="EZ4" s="115"/>
      <c r="FA4" s="113"/>
      <c r="FB4" s="24" t="s">
        <v>172</v>
      </c>
      <c r="FC4" s="24" t="s">
        <v>173</v>
      </c>
      <c r="FD4" s="24" t="s">
        <v>174</v>
      </c>
      <c r="FE4" s="115"/>
    </row>
    <row r="5" spans="1:161" x14ac:dyDescent="0.25">
      <c r="A5" s="25" t="s">
        <v>176</v>
      </c>
      <c r="B5" s="10">
        <v>1</v>
      </c>
      <c r="C5" s="10">
        <v>2004</v>
      </c>
      <c r="D5" s="69">
        <v>71.150000000000006</v>
      </c>
      <c r="E5" s="25"/>
      <c r="F5" s="49">
        <v>0.61619999999999997</v>
      </c>
      <c r="G5" s="10"/>
      <c r="H5" s="25"/>
      <c r="I5" s="25"/>
      <c r="J5" s="25"/>
      <c r="K5" s="49"/>
      <c r="L5" s="25"/>
      <c r="M5" s="25"/>
      <c r="N5" s="25"/>
      <c r="O5" s="25"/>
      <c r="P5" s="25"/>
      <c r="Q5" s="10"/>
      <c r="R5" s="25"/>
      <c r="S5" s="25"/>
      <c r="T5" s="25"/>
      <c r="U5" s="81"/>
      <c r="V5" s="25"/>
      <c r="W5" s="25"/>
      <c r="X5" s="25"/>
      <c r="Y5" s="25"/>
      <c r="Z5" s="49"/>
      <c r="AA5" s="25"/>
      <c r="AB5" s="25"/>
      <c r="AC5" s="25"/>
      <c r="AD5" s="25"/>
      <c r="AE5" s="49"/>
      <c r="AF5" s="10"/>
      <c r="AG5" s="25"/>
      <c r="AH5" s="25"/>
      <c r="AI5" s="25"/>
      <c r="AJ5" s="49"/>
      <c r="AK5" s="10"/>
      <c r="AL5" s="25"/>
      <c r="AM5" s="25"/>
      <c r="AN5" s="25"/>
      <c r="AO5" s="49"/>
      <c r="AP5" s="25"/>
      <c r="AQ5" s="10"/>
      <c r="AR5" s="10"/>
      <c r="AS5" s="10"/>
      <c r="AT5" s="25"/>
      <c r="AU5" s="10"/>
      <c r="AV5" s="10"/>
      <c r="AW5" s="10"/>
      <c r="AX5" s="10"/>
      <c r="AY5" s="49"/>
      <c r="AZ5" s="10"/>
      <c r="BA5" s="10"/>
      <c r="BB5" s="10"/>
      <c r="BC5" s="10"/>
      <c r="BD5" s="49"/>
      <c r="BE5" s="10"/>
      <c r="BF5" s="10"/>
      <c r="BG5" s="10"/>
      <c r="BH5" s="25"/>
      <c r="BI5" s="77"/>
      <c r="BJ5" s="10"/>
      <c r="BK5" s="10"/>
      <c r="BL5" s="10"/>
      <c r="BM5" s="10"/>
      <c r="BN5" s="49"/>
      <c r="BO5" s="25"/>
      <c r="BP5" s="10"/>
      <c r="BQ5" s="10"/>
      <c r="BR5" s="10"/>
      <c r="BS5" s="25"/>
      <c r="BT5" s="10"/>
      <c r="BU5" s="10"/>
      <c r="BV5" s="10"/>
      <c r="BW5" s="10"/>
      <c r="BX5" s="49"/>
      <c r="BY5" s="25"/>
      <c r="BZ5" s="10"/>
      <c r="CA5" s="10"/>
      <c r="CB5" s="10"/>
      <c r="CC5" s="25"/>
      <c r="CD5" s="25"/>
      <c r="CE5" s="10"/>
      <c r="CF5" s="10"/>
      <c r="CG5" s="10"/>
      <c r="CH5" s="25"/>
      <c r="CI5" s="25"/>
      <c r="CJ5" s="25"/>
      <c r="CK5" s="25"/>
      <c r="CL5" s="25"/>
      <c r="CM5" s="25"/>
      <c r="CN5" s="25"/>
      <c r="CO5" s="10"/>
      <c r="CP5" s="10"/>
      <c r="CQ5" s="10"/>
      <c r="CR5" s="83"/>
      <c r="CS5" s="10"/>
      <c r="CT5" s="25"/>
      <c r="CU5" s="25"/>
      <c r="CV5" s="25"/>
      <c r="CW5" s="49"/>
      <c r="CX5" s="10"/>
      <c r="CY5" s="25"/>
      <c r="CZ5" s="25"/>
      <c r="DA5" s="25"/>
      <c r="DB5" s="49"/>
      <c r="DC5" s="10"/>
      <c r="DD5" s="10"/>
      <c r="DE5" s="10"/>
      <c r="DF5" s="10"/>
      <c r="DG5" s="49"/>
      <c r="DH5" s="10"/>
      <c r="DI5" s="10"/>
      <c r="DJ5" s="10"/>
      <c r="DK5" s="10"/>
      <c r="DL5" s="49"/>
      <c r="DM5" s="10"/>
      <c r="DN5" s="69"/>
      <c r="DO5" s="69"/>
      <c r="DP5" s="69"/>
      <c r="DQ5" s="49"/>
      <c r="DR5" s="10"/>
      <c r="DS5" s="25"/>
      <c r="DT5" s="25"/>
      <c r="DU5" s="25"/>
      <c r="DV5" s="49"/>
      <c r="DW5" s="10"/>
      <c r="DX5" s="69"/>
      <c r="DY5" s="69"/>
      <c r="DZ5" s="69"/>
      <c r="EA5" s="49"/>
      <c r="EB5" s="83"/>
      <c r="EC5" s="50"/>
      <c r="ED5" s="49"/>
      <c r="EE5" s="50"/>
      <c r="EF5" s="49"/>
      <c r="EG5" s="10"/>
      <c r="EH5" s="25"/>
      <c r="EI5" s="25"/>
      <c r="EJ5" s="25"/>
      <c r="EK5" s="49"/>
      <c r="EL5" s="25"/>
      <c r="EM5" s="25"/>
      <c r="EN5" s="25"/>
      <c r="EO5" s="25"/>
      <c r="EP5" s="25"/>
      <c r="EQ5" s="10"/>
      <c r="ER5" s="25"/>
      <c r="ES5" s="25"/>
      <c r="ET5" s="25"/>
      <c r="EU5" s="77"/>
      <c r="EV5" s="10">
        <v>3</v>
      </c>
      <c r="EW5" s="10">
        <v>53</v>
      </c>
      <c r="EX5" s="10">
        <v>8</v>
      </c>
      <c r="EY5" s="10">
        <v>17</v>
      </c>
      <c r="EZ5" s="49">
        <v>1.1000000000000001E-3</v>
      </c>
      <c r="FA5" s="10"/>
      <c r="FB5" s="25"/>
      <c r="FC5" s="25"/>
      <c r="FD5" s="25"/>
      <c r="FE5" s="49"/>
    </row>
    <row r="6" spans="1:161" x14ac:dyDescent="0.25">
      <c r="A6" s="25" t="s">
        <v>177</v>
      </c>
      <c r="B6" s="10">
        <v>1</v>
      </c>
      <c r="C6" s="10"/>
      <c r="D6" s="69"/>
      <c r="E6" s="25">
        <v>-19.350000000000001</v>
      </c>
      <c r="F6" s="49">
        <v>-5.7000000000000002E-3</v>
      </c>
      <c r="G6" s="10"/>
      <c r="H6" s="25"/>
      <c r="I6" s="25"/>
      <c r="J6" s="25"/>
      <c r="K6" s="49"/>
      <c r="L6" s="10">
        <v>10</v>
      </c>
      <c r="M6" s="69">
        <v>1711.81</v>
      </c>
      <c r="N6" s="69">
        <v>90.09</v>
      </c>
      <c r="O6" s="69">
        <v>-500.87</v>
      </c>
      <c r="P6" s="49">
        <v>0.10100000000000001</v>
      </c>
      <c r="Q6" s="10">
        <v>28</v>
      </c>
      <c r="R6" s="7">
        <v>21089.279999999999</v>
      </c>
      <c r="S6" s="10">
        <v>1068.31</v>
      </c>
      <c r="T6" s="10">
        <v>12707</v>
      </c>
      <c r="U6" s="49">
        <v>0.36349999999999999</v>
      </c>
      <c r="V6" s="10">
        <v>3</v>
      </c>
      <c r="W6" s="10">
        <v>700.96208999999999</v>
      </c>
      <c r="X6" s="10"/>
      <c r="Y6" s="10">
        <v>29.51464</v>
      </c>
      <c r="Z6" s="49">
        <v>5.6500000000000002E-2</v>
      </c>
      <c r="AA6" s="25"/>
      <c r="AB6" s="69"/>
      <c r="AC6" s="69"/>
      <c r="AD6" s="25"/>
      <c r="AE6" s="49"/>
      <c r="AF6" s="10"/>
      <c r="AG6" s="38">
        <v>533.32000000000005</v>
      </c>
      <c r="AH6" s="69">
        <v>62.99</v>
      </c>
      <c r="AI6" s="69"/>
      <c r="AJ6" s="49">
        <v>0.1113</v>
      </c>
      <c r="AK6" s="10"/>
      <c r="AL6" s="25"/>
      <c r="AM6" s="25"/>
      <c r="AN6" s="25"/>
      <c r="AO6" s="49"/>
      <c r="AP6" s="10">
        <v>3</v>
      </c>
      <c r="AQ6" s="10">
        <v>106.25</v>
      </c>
      <c r="AR6" s="10"/>
      <c r="AS6" s="10"/>
      <c r="AT6" s="49">
        <v>7.2999999999999995E-2</v>
      </c>
      <c r="AU6" s="10">
        <v>1</v>
      </c>
      <c r="AV6" s="10">
        <v>1454</v>
      </c>
      <c r="AW6" s="10">
        <v>173</v>
      </c>
      <c r="AX6" s="10">
        <v>12</v>
      </c>
      <c r="AY6" s="49">
        <v>7.7499999999999999E-2</v>
      </c>
      <c r="AZ6" s="10">
        <v>10</v>
      </c>
      <c r="BA6" s="10">
        <v>941</v>
      </c>
      <c r="BB6" s="10"/>
      <c r="BC6" s="10">
        <v>1376</v>
      </c>
      <c r="BD6" s="49">
        <v>8.5599999999999996E-2</v>
      </c>
      <c r="BE6" s="10">
        <v>20</v>
      </c>
      <c r="BF6" s="10">
        <v>61665</v>
      </c>
      <c r="BG6" s="10">
        <v>1999</v>
      </c>
      <c r="BH6" s="69">
        <v>1796</v>
      </c>
      <c r="BI6" s="49">
        <v>0.57379999999999998</v>
      </c>
      <c r="BJ6" s="10">
        <v>45</v>
      </c>
      <c r="BK6" s="10">
        <v>29546</v>
      </c>
      <c r="BL6" s="10">
        <v>1172</v>
      </c>
      <c r="BM6" s="10">
        <v>2673</v>
      </c>
      <c r="BN6" s="49">
        <v>0.25</v>
      </c>
      <c r="BO6" s="10">
        <v>6</v>
      </c>
      <c r="BP6" s="10">
        <v>5079</v>
      </c>
      <c r="BQ6" s="10"/>
      <c r="BR6" s="10">
        <v>271</v>
      </c>
      <c r="BS6" s="77">
        <v>0.09</v>
      </c>
      <c r="BT6" s="10"/>
      <c r="BU6" s="10"/>
      <c r="BV6" s="10"/>
      <c r="BW6" s="10"/>
      <c r="BX6" s="49"/>
      <c r="BY6" s="10">
        <v>3</v>
      </c>
      <c r="BZ6" s="10">
        <v>3</v>
      </c>
      <c r="CA6" s="10">
        <v>12</v>
      </c>
      <c r="CB6" s="10"/>
      <c r="CC6" s="49">
        <v>1.9E-3</v>
      </c>
      <c r="CD6" s="10">
        <v>5</v>
      </c>
      <c r="CE6" s="10">
        <v>4101</v>
      </c>
      <c r="CF6" s="10">
        <v>47</v>
      </c>
      <c r="CG6" s="10">
        <v>31</v>
      </c>
      <c r="CH6" s="49">
        <v>0.29339999999999999</v>
      </c>
      <c r="CI6" s="25"/>
      <c r="CJ6" s="25"/>
      <c r="CK6" s="25"/>
      <c r="CL6" s="25"/>
      <c r="CM6" s="25"/>
      <c r="CN6" s="10"/>
      <c r="CO6" s="10"/>
      <c r="CP6" s="10"/>
      <c r="CQ6" s="10"/>
      <c r="CR6" s="83"/>
      <c r="CS6" s="10">
        <v>1</v>
      </c>
      <c r="CT6" s="69">
        <v>-1</v>
      </c>
      <c r="CU6" s="25"/>
      <c r="CV6" s="25"/>
      <c r="CW6" s="49">
        <v>-8.8999999999999999E-3</v>
      </c>
      <c r="CX6" s="10">
        <v>1</v>
      </c>
      <c r="CY6" s="69">
        <v>142</v>
      </c>
      <c r="CZ6" s="25"/>
      <c r="DA6" s="25"/>
      <c r="DB6" s="49">
        <v>0.01</v>
      </c>
      <c r="DC6" s="10"/>
      <c r="DD6" s="10"/>
      <c r="DE6" s="10"/>
      <c r="DF6" s="10"/>
      <c r="DG6" s="49"/>
      <c r="DH6" s="10">
        <v>21</v>
      </c>
      <c r="DI6" s="10">
        <v>161</v>
      </c>
      <c r="DJ6" s="10">
        <v>57</v>
      </c>
      <c r="DK6" s="10">
        <v>653</v>
      </c>
      <c r="DL6" s="49">
        <v>8.8999999999999999E-3</v>
      </c>
      <c r="DM6" s="10">
        <v>2</v>
      </c>
      <c r="DN6" s="69">
        <v>473.46</v>
      </c>
      <c r="DO6" s="69">
        <v>41.88</v>
      </c>
      <c r="DP6" s="69">
        <v>8.5500000000000007</v>
      </c>
      <c r="DQ6" s="49">
        <v>2.2700000000000001E-2</v>
      </c>
      <c r="DR6" s="10"/>
      <c r="DS6" s="25"/>
      <c r="DT6" s="25"/>
      <c r="DU6" s="25"/>
      <c r="DV6" s="49"/>
      <c r="DW6" s="10"/>
      <c r="DX6" s="69"/>
      <c r="DY6" s="69"/>
      <c r="DZ6" s="69"/>
      <c r="EA6" s="49"/>
      <c r="EB6" s="83"/>
      <c r="EC6"/>
      <c r="ED6" s="49"/>
      <c r="EE6" s="50"/>
      <c r="EF6" s="49"/>
      <c r="EG6" s="10">
        <v>24</v>
      </c>
      <c r="EH6" s="69">
        <v>26917</v>
      </c>
      <c r="EI6" s="69">
        <v>1778</v>
      </c>
      <c r="EJ6" s="69">
        <v>3762</v>
      </c>
      <c r="EK6" s="49">
        <v>0.40050000000000002</v>
      </c>
      <c r="EL6" s="25"/>
      <c r="EM6" s="25"/>
      <c r="EN6" s="25"/>
      <c r="EO6" s="25"/>
      <c r="EP6" s="25"/>
      <c r="EQ6" s="124"/>
      <c r="ER6" s="124">
        <v>4637</v>
      </c>
      <c r="ES6" s="124">
        <v>84</v>
      </c>
      <c r="ET6" s="124">
        <v>29</v>
      </c>
      <c r="EU6" s="49">
        <v>7.0300000000000001E-2</v>
      </c>
      <c r="EV6" s="10">
        <v>11</v>
      </c>
      <c r="EW6" s="10"/>
      <c r="EX6" s="10">
        <v>443</v>
      </c>
      <c r="EY6" s="10">
        <v>22</v>
      </c>
      <c r="EZ6" s="49">
        <v>6.4999999999999997E-3</v>
      </c>
      <c r="FA6" s="10">
        <v>34</v>
      </c>
      <c r="FB6" s="69">
        <v>7507</v>
      </c>
      <c r="FC6" s="69">
        <v>497</v>
      </c>
      <c r="FD6" s="69">
        <v>5200</v>
      </c>
      <c r="FE6" s="49">
        <v>0.6764</v>
      </c>
    </row>
    <row r="7" spans="1:161" x14ac:dyDescent="0.25">
      <c r="A7" s="25" t="s">
        <v>178</v>
      </c>
      <c r="B7" s="10"/>
      <c r="C7" s="10"/>
      <c r="D7" s="69"/>
      <c r="E7" s="25"/>
      <c r="F7" s="49"/>
      <c r="G7" s="10">
        <v>4</v>
      </c>
      <c r="H7" s="69">
        <v>6504.83</v>
      </c>
      <c r="I7" s="69">
        <v>35.130000000000003</v>
      </c>
      <c r="J7" s="25"/>
      <c r="K7" s="49">
        <v>0.76570000000000005</v>
      </c>
      <c r="L7" s="10">
        <v>49</v>
      </c>
      <c r="M7" s="69">
        <v>2522.2199999999998</v>
      </c>
      <c r="N7" s="69">
        <v>159.32</v>
      </c>
      <c r="O7" s="69">
        <v>-1.71</v>
      </c>
      <c r="P7" s="49">
        <v>0.2079</v>
      </c>
      <c r="Q7" s="10">
        <v>164</v>
      </c>
      <c r="R7" s="10">
        <v>28478.46</v>
      </c>
      <c r="S7" s="10">
        <v>676.34</v>
      </c>
      <c r="T7" s="10">
        <v>8596.67</v>
      </c>
      <c r="U7" s="49">
        <v>0.39360000000000001</v>
      </c>
      <c r="V7" s="10">
        <v>54</v>
      </c>
      <c r="W7" s="10">
        <v>5088.5532700000003</v>
      </c>
      <c r="X7" s="10">
        <v>938.91341999999997</v>
      </c>
      <c r="Y7" s="10">
        <v>188.53294</v>
      </c>
      <c r="Z7" s="49">
        <v>0.48039999999999999</v>
      </c>
      <c r="AA7" s="69">
        <v>1</v>
      </c>
      <c r="AB7" s="69">
        <v>8</v>
      </c>
      <c r="AC7" s="69"/>
      <c r="AD7" s="69"/>
      <c r="AE7" s="49">
        <v>1E-3</v>
      </c>
      <c r="AF7" s="10"/>
      <c r="AG7" s="69">
        <v>1900.38</v>
      </c>
      <c r="AH7" s="38">
        <v>528.55999999999995</v>
      </c>
      <c r="AI7" s="69">
        <v>2330.46</v>
      </c>
      <c r="AJ7" s="49">
        <v>0.88829999999999998</v>
      </c>
      <c r="AK7" s="10">
        <v>7</v>
      </c>
      <c r="AL7" s="69">
        <v>1486</v>
      </c>
      <c r="AM7" s="69">
        <v>1609</v>
      </c>
      <c r="AN7" s="25"/>
      <c r="AO7" s="49">
        <v>0.62</v>
      </c>
      <c r="AP7" s="10">
        <v>3</v>
      </c>
      <c r="AQ7" s="10"/>
      <c r="AR7" s="10">
        <v>72.72</v>
      </c>
      <c r="AS7" s="10"/>
      <c r="AT7" s="49">
        <v>0.05</v>
      </c>
      <c r="AU7" s="10">
        <v>50</v>
      </c>
      <c r="AV7" s="10">
        <v>4211</v>
      </c>
      <c r="AW7" s="10">
        <v>529</v>
      </c>
      <c r="AX7" s="10">
        <v>1018</v>
      </c>
      <c r="AY7" s="49">
        <v>0.2722</v>
      </c>
      <c r="AZ7" s="10">
        <v>65</v>
      </c>
      <c r="BA7" s="10">
        <v>21765</v>
      </c>
      <c r="BB7" s="10">
        <v>73</v>
      </c>
      <c r="BC7" s="10">
        <v>2922</v>
      </c>
      <c r="BD7" s="49">
        <v>0.91439999999999999</v>
      </c>
      <c r="BE7" s="10">
        <v>100</v>
      </c>
      <c r="BF7" s="10">
        <v>8495</v>
      </c>
      <c r="BG7" s="10">
        <v>517</v>
      </c>
      <c r="BH7" s="69">
        <v>4178</v>
      </c>
      <c r="BI7" s="49">
        <v>0.11559999999999999</v>
      </c>
      <c r="BJ7" s="10">
        <v>143</v>
      </c>
      <c r="BK7" s="10">
        <v>12789</v>
      </c>
      <c r="BL7" s="10">
        <v>1444</v>
      </c>
      <c r="BM7" s="10">
        <v>10018</v>
      </c>
      <c r="BN7" s="49">
        <v>0.18</v>
      </c>
      <c r="BO7" s="10">
        <v>117</v>
      </c>
      <c r="BP7" s="10">
        <v>18339</v>
      </c>
      <c r="BQ7" s="10">
        <v>221</v>
      </c>
      <c r="BR7" s="10">
        <v>3882</v>
      </c>
      <c r="BS7" s="77">
        <v>0.38</v>
      </c>
      <c r="BT7" s="10">
        <v>4</v>
      </c>
      <c r="BU7" s="10">
        <v>1138</v>
      </c>
      <c r="BV7" s="10">
        <v>61</v>
      </c>
      <c r="BW7" s="10"/>
      <c r="BX7" s="49">
        <v>0.435</v>
      </c>
      <c r="BY7" s="10">
        <v>16</v>
      </c>
      <c r="BZ7" s="10"/>
      <c r="CA7" s="10">
        <v>904</v>
      </c>
      <c r="CB7" s="10"/>
      <c r="CC7" s="49">
        <v>0.3528</v>
      </c>
      <c r="CD7" s="10">
        <v>19</v>
      </c>
      <c r="CE7" s="10">
        <v>3366</v>
      </c>
      <c r="CF7" s="10">
        <v>83</v>
      </c>
      <c r="CG7" s="10">
        <v>59</v>
      </c>
      <c r="CH7" s="49">
        <v>0.24629999999999999</v>
      </c>
      <c r="CI7" s="10">
        <v>1</v>
      </c>
      <c r="CJ7" s="69">
        <v>24.63</v>
      </c>
      <c r="CK7" s="69">
        <v>16.16</v>
      </c>
      <c r="CL7" s="69">
        <v>8.9600000000000009</v>
      </c>
      <c r="CM7" s="49">
        <v>2.46E-2</v>
      </c>
      <c r="CN7" s="10"/>
      <c r="CO7" s="10">
        <v>1524.9352819999999</v>
      </c>
      <c r="CP7" s="10">
        <v>6686.7269420000002</v>
      </c>
      <c r="CQ7" s="10">
        <v>2062.6611069999999</v>
      </c>
      <c r="CR7" s="77">
        <v>0.28149999999999997</v>
      </c>
      <c r="CS7" s="10">
        <v>6</v>
      </c>
      <c r="CT7" s="69">
        <v>5</v>
      </c>
      <c r="CU7" s="69">
        <v>21</v>
      </c>
      <c r="CV7" s="69"/>
      <c r="CW7" s="49">
        <v>0.189</v>
      </c>
      <c r="CX7" s="10">
        <v>2</v>
      </c>
      <c r="CY7" s="69">
        <v>9362</v>
      </c>
      <c r="CZ7" s="69">
        <v>23</v>
      </c>
      <c r="DA7" s="25"/>
      <c r="DB7" s="49">
        <v>0.67</v>
      </c>
      <c r="DC7" s="10">
        <v>2</v>
      </c>
      <c r="DD7" s="10"/>
      <c r="DE7" s="10">
        <v>20</v>
      </c>
      <c r="DF7" s="10">
        <v>8</v>
      </c>
      <c r="DG7" s="49">
        <v>1.3899999999999999E-2</v>
      </c>
      <c r="DH7" s="10">
        <v>113</v>
      </c>
      <c r="DI7" s="10">
        <v>12081</v>
      </c>
      <c r="DJ7" s="10">
        <v>853</v>
      </c>
      <c r="DK7" s="10">
        <v>4763</v>
      </c>
      <c r="DL7" s="49">
        <v>0.18090000000000001</v>
      </c>
      <c r="DM7" s="10">
        <v>57</v>
      </c>
      <c r="DN7" s="69">
        <v>11537.98</v>
      </c>
      <c r="DO7" s="69">
        <v>882.78</v>
      </c>
      <c r="DP7" s="69">
        <v>105.27</v>
      </c>
      <c r="DQ7" s="49">
        <v>0.54279999999999995</v>
      </c>
      <c r="DR7" s="10"/>
      <c r="DS7" s="25"/>
      <c r="DT7" s="25"/>
      <c r="DU7" s="25"/>
      <c r="DV7" s="49"/>
      <c r="DW7" s="10">
        <v>10</v>
      </c>
      <c r="DX7" s="69">
        <v>154.88</v>
      </c>
      <c r="DY7" s="69">
        <v>83.4</v>
      </c>
      <c r="DZ7" s="69">
        <v>48.62</v>
      </c>
      <c r="EA7" s="49">
        <v>9.7500000000000003E-2</v>
      </c>
      <c r="EB7" s="10">
        <v>3</v>
      </c>
      <c r="EC7" s="10">
        <v>918</v>
      </c>
      <c r="ED7" s="10">
        <v>21</v>
      </c>
      <c r="EE7" s="69"/>
      <c r="EF7" s="49">
        <v>6.93E-2</v>
      </c>
      <c r="EG7" s="10">
        <v>84</v>
      </c>
      <c r="EH7" s="69">
        <v>19359</v>
      </c>
      <c r="EI7" s="69">
        <v>1151</v>
      </c>
      <c r="EJ7" s="69">
        <v>3162</v>
      </c>
      <c r="EK7" s="49">
        <v>0.29210000000000003</v>
      </c>
      <c r="EL7" s="10"/>
      <c r="EM7" s="69"/>
      <c r="EN7" s="69"/>
      <c r="EO7" s="69"/>
      <c r="EP7" s="49"/>
      <c r="EQ7" s="124"/>
      <c r="ER7" s="124">
        <v>1103</v>
      </c>
      <c r="ES7" s="124">
        <v>2241</v>
      </c>
      <c r="ET7" s="124">
        <v>1415</v>
      </c>
      <c r="EU7" s="49">
        <v>7.0499999999999993E-2</v>
      </c>
      <c r="EV7" s="10">
        <v>92</v>
      </c>
      <c r="EW7" s="10">
        <v>1476</v>
      </c>
      <c r="EX7" s="10">
        <v>4220</v>
      </c>
      <c r="EY7" s="10">
        <v>547</v>
      </c>
      <c r="EZ7" s="49">
        <v>8.72E-2</v>
      </c>
      <c r="FA7" s="10">
        <v>41</v>
      </c>
      <c r="FB7" s="69">
        <v>725</v>
      </c>
      <c r="FC7" s="69">
        <v>60</v>
      </c>
      <c r="FD7" s="69">
        <v>5069</v>
      </c>
      <c r="FE7" s="49">
        <v>0.2999</v>
      </c>
    </row>
    <row r="8" spans="1:161" x14ac:dyDescent="0.25">
      <c r="A8" s="25" t="s">
        <v>179</v>
      </c>
      <c r="B8" s="10">
        <v>1</v>
      </c>
      <c r="C8" s="10">
        <v>1238</v>
      </c>
      <c r="D8" s="69">
        <v>71.150000000000006</v>
      </c>
      <c r="E8" s="69">
        <v>3.03</v>
      </c>
      <c r="F8" s="49">
        <v>0.3896</v>
      </c>
      <c r="G8" s="10">
        <v>2</v>
      </c>
      <c r="H8" s="69">
        <v>1845.37</v>
      </c>
      <c r="I8" s="69">
        <v>155.27000000000001</v>
      </c>
      <c r="J8" s="25"/>
      <c r="K8" s="49">
        <v>0.23430000000000001</v>
      </c>
      <c r="L8" s="10">
        <v>2</v>
      </c>
      <c r="M8" s="69">
        <v>8601.57</v>
      </c>
      <c r="N8" s="69">
        <v>305.36</v>
      </c>
      <c r="O8" s="25"/>
      <c r="P8" s="49">
        <v>0.69110000000000005</v>
      </c>
      <c r="Q8" s="10">
        <v>1</v>
      </c>
      <c r="R8" s="10">
        <v>16881.86</v>
      </c>
      <c r="S8" s="10">
        <v>2483.4299999999998</v>
      </c>
      <c r="T8" s="10">
        <v>3937.75</v>
      </c>
      <c r="U8" s="49">
        <v>0.2429</v>
      </c>
      <c r="V8" s="10">
        <v>11</v>
      </c>
      <c r="W8" s="7">
        <v>4948.92893</v>
      </c>
      <c r="X8" s="10">
        <v>745.96342000000004</v>
      </c>
      <c r="Y8" s="10">
        <v>55.308399999999999</v>
      </c>
      <c r="Z8" s="49">
        <v>0.44440000000000002</v>
      </c>
      <c r="AA8" s="69">
        <v>1</v>
      </c>
      <c r="AB8" s="69">
        <v>15808</v>
      </c>
      <c r="AC8" s="69">
        <v>336</v>
      </c>
      <c r="AD8" s="25">
        <v>1</v>
      </c>
      <c r="AE8" s="49">
        <v>0.999</v>
      </c>
      <c r="AF8" s="10"/>
      <c r="AG8" s="38">
        <v>2.1</v>
      </c>
      <c r="AH8" s="69"/>
      <c r="AI8" s="69"/>
      <c r="AJ8" s="49">
        <v>4.0000000000000002E-4</v>
      </c>
      <c r="AK8" s="10">
        <v>2</v>
      </c>
      <c r="AL8" s="69">
        <v>1736</v>
      </c>
      <c r="AM8" s="69">
        <v>196</v>
      </c>
      <c r="AN8" s="25"/>
      <c r="AO8" s="49">
        <v>0.38</v>
      </c>
      <c r="AP8" s="10">
        <v>13</v>
      </c>
      <c r="AQ8" s="10">
        <v>1081.6300000000001</v>
      </c>
      <c r="AR8" s="10">
        <v>199.27</v>
      </c>
      <c r="AS8" s="10"/>
      <c r="AT8" s="49">
        <v>0.877</v>
      </c>
      <c r="AU8" s="10">
        <v>11</v>
      </c>
      <c r="AV8" s="10">
        <v>809</v>
      </c>
      <c r="AW8" s="10">
        <v>194</v>
      </c>
      <c r="AX8" s="10">
        <v>1</v>
      </c>
      <c r="AY8" s="49">
        <v>4.7399999999999998E-2</v>
      </c>
      <c r="AZ8" s="10"/>
      <c r="BA8" s="10"/>
      <c r="BB8" s="10"/>
      <c r="BC8" s="10"/>
      <c r="BD8" s="49"/>
      <c r="BE8" s="10">
        <v>7</v>
      </c>
      <c r="BF8" s="10">
        <v>29860</v>
      </c>
      <c r="BG8" s="10">
        <v>1704</v>
      </c>
      <c r="BH8" s="69">
        <v>1629</v>
      </c>
      <c r="BI8" s="49">
        <v>0.29099999999999998</v>
      </c>
      <c r="BJ8" s="10">
        <v>3</v>
      </c>
      <c r="BK8" s="10">
        <v>55394</v>
      </c>
      <c r="BL8" s="10">
        <v>4911</v>
      </c>
      <c r="BM8" s="10">
        <v>2267</v>
      </c>
      <c r="BN8" s="49">
        <v>0.47</v>
      </c>
      <c r="BO8" s="10">
        <v>27</v>
      </c>
      <c r="BP8" s="10">
        <v>22285</v>
      </c>
      <c r="BQ8" s="10">
        <v>1370</v>
      </c>
      <c r="BR8" s="10">
        <v>4943</v>
      </c>
      <c r="BS8" s="77">
        <v>0.48</v>
      </c>
      <c r="BT8" s="10">
        <v>1</v>
      </c>
      <c r="BU8" s="10">
        <v>1426</v>
      </c>
      <c r="BV8" s="10">
        <v>128</v>
      </c>
      <c r="BW8" s="10"/>
      <c r="BX8" s="49">
        <v>0.56399999999999995</v>
      </c>
      <c r="BY8" s="10">
        <v>1</v>
      </c>
      <c r="BZ8" s="10"/>
      <c r="CA8" s="10">
        <v>709</v>
      </c>
      <c r="CB8" s="10"/>
      <c r="CC8" s="49">
        <v>0.64529999999999998</v>
      </c>
      <c r="CD8" s="10">
        <v>5</v>
      </c>
      <c r="CE8" s="10">
        <v>6393</v>
      </c>
      <c r="CF8" s="10">
        <v>154</v>
      </c>
      <c r="CG8" s="10"/>
      <c r="CH8" s="49">
        <v>0.45950000000000002</v>
      </c>
      <c r="CI8" s="10">
        <v>1</v>
      </c>
      <c r="CJ8" s="69">
        <v>1055.8699999999999</v>
      </c>
      <c r="CK8" s="69">
        <v>10.72</v>
      </c>
      <c r="CL8" s="25"/>
      <c r="CM8" s="49">
        <v>0.97540000000000004</v>
      </c>
      <c r="CN8" s="10"/>
      <c r="CO8" s="10">
        <v>2792.6653780000001</v>
      </c>
      <c r="CP8" s="10">
        <v>876.78140880000001</v>
      </c>
      <c r="CQ8" s="10">
        <v>216.95537759999999</v>
      </c>
      <c r="CR8" s="77">
        <v>0.1065</v>
      </c>
      <c r="CS8" s="10">
        <v>7</v>
      </c>
      <c r="CT8" s="69">
        <v>34</v>
      </c>
      <c r="CU8" s="69">
        <v>64</v>
      </c>
      <c r="CV8" s="69"/>
      <c r="CW8" s="49">
        <v>0.69950000000000001</v>
      </c>
      <c r="CX8" s="10">
        <v>1</v>
      </c>
      <c r="CY8" s="69">
        <v>4357</v>
      </c>
      <c r="CZ8" s="69">
        <v>23</v>
      </c>
      <c r="DA8" s="25"/>
      <c r="DB8" s="49">
        <v>0.31</v>
      </c>
      <c r="DC8" s="10">
        <v>2</v>
      </c>
      <c r="DD8" s="10">
        <v>1418</v>
      </c>
      <c r="DE8" s="10">
        <v>529</v>
      </c>
      <c r="DF8" s="10">
        <v>9</v>
      </c>
      <c r="DG8" s="49">
        <v>0.98609999999999998</v>
      </c>
      <c r="DH8" s="10">
        <v>10</v>
      </c>
      <c r="DI8" s="10">
        <v>54750</v>
      </c>
      <c r="DJ8" s="10">
        <v>2616</v>
      </c>
      <c r="DK8" s="10">
        <v>2204</v>
      </c>
      <c r="DL8" s="49">
        <v>0.60880000000000001</v>
      </c>
      <c r="DM8" s="10">
        <v>13</v>
      </c>
      <c r="DN8" s="69">
        <v>8816.85</v>
      </c>
      <c r="DO8" s="69">
        <v>471.56</v>
      </c>
      <c r="DP8" s="69">
        <v>552.72</v>
      </c>
      <c r="DQ8" s="49">
        <v>0.4264</v>
      </c>
      <c r="DR8" s="10"/>
      <c r="DS8" s="25"/>
      <c r="DT8" s="25"/>
      <c r="DU8" s="25"/>
      <c r="DV8" s="49"/>
      <c r="DW8" s="10">
        <v>6</v>
      </c>
      <c r="DX8" s="69">
        <v>125.55</v>
      </c>
      <c r="DY8" s="69">
        <v>36.65</v>
      </c>
      <c r="DZ8" s="69"/>
      <c r="EA8" s="49">
        <v>5.5100000000000003E-2</v>
      </c>
      <c r="EB8" s="10">
        <v>1</v>
      </c>
      <c r="EC8" s="10">
        <v>12526</v>
      </c>
      <c r="ED8" s="10">
        <v>84</v>
      </c>
      <c r="EE8" s="69"/>
      <c r="EF8" s="49">
        <v>0.93069999999999997</v>
      </c>
      <c r="EG8" s="10"/>
      <c r="EH8" s="69"/>
      <c r="EI8" s="69"/>
      <c r="EJ8" s="69"/>
      <c r="EK8" s="49"/>
      <c r="EL8" s="10"/>
      <c r="EM8" s="69"/>
      <c r="EN8" s="69"/>
      <c r="EO8" s="69"/>
      <c r="EP8" s="49"/>
      <c r="EQ8" s="124"/>
      <c r="ER8" s="124">
        <v>9</v>
      </c>
      <c r="ES8" s="124">
        <v>12</v>
      </c>
      <c r="ET8" s="124">
        <v>1</v>
      </c>
      <c r="EU8" s="49">
        <v>2.9999999999999997E-4</v>
      </c>
      <c r="EV8" s="10">
        <v>22</v>
      </c>
      <c r="EW8" s="10">
        <v>10176</v>
      </c>
      <c r="EX8" s="10">
        <v>1183</v>
      </c>
      <c r="EY8" s="10">
        <v>2808</v>
      </c>
      <c r="EZ8" s="49">
        <v>0.19789999999999999</v>
      </c>
      <c r="FA8" s="10">
        <v>8</v>
      </c>
      <c r="FB8" s="69">
        <v>246</v>
      </c>
      <c r="FC8" s="69">
        <v>10</v>
      </c>
      <c r="FD8" s="69"/>
      <c r="FE8" s="49">
        <v>1.3100000000000001E-2</v>
      </c>
    </row>
    <row r="9" spans="1:161" x14ac:dyDescent="0.25">
      <c r="A9" s="25" t="s">
        <v>180</v>
      </c>
      <c r="B9" s="10"/>
      <c r="C9" s="10"/>
      <c r="D9" s="10"/>
      <c r="E9" s="25"/>
      <c r="F9" s="49"/>
      <c r="G9" s="10"/>
      <c r="H9" s="25"/>
      <c r="I9" s="25"/>
      <c r="J9" s="25"/>
      <c r="K9" s="49"/>
      <c r="L9" s="10"/>
      <c r="M9" s="69"/>
      <c r="N9" s="25"/>
      <c r="O9" s="25"/>
      <c r="P9" s="49"/>
      <c r="Q9" s="10"/>
      <c r="R9" s="10"/>
      <c r="S9" s="10"/>
      <c r="T9" s="10"/>
      <c r="U9" s="81"/>
      <c r="V9" s="10">
        <v>1</v>
      </c>
      <c r="W9" s="10">
        <v>8.0972000000000008</v>
      </c>
      <c r="X9" s="10">
        <v>2.04542</v>
      </c>
      <c r="Y9" s="10"/>
      <c r="Z9" s="49">
        <v>8.0000000000000004E-4</v>
      </c>
      <c r="AA9" s="25"/>
      <c r="AB9" s="25"/>
      <c r="AC9" s="25"/>
      <c r="AD9" s="25"/>
      <c r="AE9" s="49"/>
      <c r="AF9" s="10"/>
      <c r="AG9" s="25"/>
      <c r="AH9" s="25"/>
      <c r="AI9" s="25"/>
      <c r="AJ9" s="49"/>
      <c r="AK9" s="10">
        <v>3</v>
      </c>
      <c r="AL9" s="25"/>
      <c r="AM9" s="25"/>
      <c r="AN9" s="25"/>
      <c r="AO9" s="49"/>
      <c r="AP9" s="10"/>
      <c r="AQ9" s="10"/>
      <c r="AR9" s="10"/>
      <c r="AS9" s="10"/>
      <c r="AT9" s="49"/>
      <c r="AU9" s="10">
        <v>1</v>
      </c>
      <c r="AV9" s="10">
        <v>1</v>
      </c>
      <c r="AW9" s="10"/>
      <c r="AX9" s="10"/>
      <c r="AY9" s="49"/>
      <c r="AZ9" s="10"/>
      <c r="BA9" s="10"/>
      <c r="BB9" s="10"/>
      <c r="BC9" s="10"/>
      <c r="BD9" s="49"/>
      <c r="BE9" s="10"/>
      <c r="BF9" s="10"/>
      <c r="BG9" s="10"/>
      <c r="BH9" s="25"/>
      <c r="BI9" s="49"/>
      <c r="BJ9" s="10">
        <v>11</v>
      </c>
      <c r="BK9" s="10">
        <v>44</v>
      </c>
      <c r="BL9" s="10">
        <v>-1</v>
      </c>
      <c r="BM9" s="10">
        <v>-1</v>
      </c>
      <c r="BN9" s="49">
        <v>0</v>
      </c>
      <c r="BO9" s="25"/>
      <c r="BP9" s="10"/>
      <c r="BQ9" s="10"/>
      <c r="BR9" s="10"/>
      <c r="BS9" s="77"/>
      <c r="BT9" s="10"/>
      <c r="BU9" s="10"/>
      <c r="BV9" s="10"/>
      <c r="BW9" s="10"/>
      <c r="BX9" s="49"/>
      <c r="BY9" s="10">
        <v>1</v>
      </c>
      <c r="BZ9" s="10"/>
      <c r="CA9" s="10"/>
      <c r="CB9" s="10"/>
      <c r="CC9" s="50"/>
      <c r="CD9" s="10">
        <v>7</v>
      </c>
      <c r="CE9" s="10"/>
      <c r="CF9" s="10"/>
      <c r="CG9" s="10"/>
      <c r="CH9" s="49"/>
      <c r="CI9" s="25"/>
      <c r="CJ9" s="25"/>
      <c r="CK9" s="25"/>
      <c r="CL9" s="25"/>
      <c r="CM9" s="50"/>
      <c r="CN9" s="10"/>
      <c r="CO9" s="10">
        <v>18063.366300000002</v>
      </c>
      <c r="CP9" s="10">
        <v>-422.57681059999999</v>
      </c>
      <c r="CQ9" s="10">
        <v>4700.4666390000002</v>
      </c>
      <c r="CR9" s="77">
        <v>0.61209999999999998</v>
      </c>
      <c r="CS9" s="10">
        <v>3</v>
      </c>
      <c r="CT9" s="69"/>
      <c r="CU9" s="69">
        <v>17</v>
      </c>
      <c r="CV9" s="69"/>
      <c r="CW9" s="49">
        <v>0.1203</v>
      </c>
      <c r="CX9" s="10"/>
      <c r="CY9" s="25"/>
      <c r="CZ9" s="25"/>
      <c r="DA9" s="25"/>
      <c r="DB9" s="49"/>
      <c r="DC9" s="10"/>
      <c r="DD9" s="10"/>
      <c r="DE9" s="10"/>
      <c r="DF9" s="10"/>
      <c r="DG9" s="49"/>
      <c r="DH9" s="10">
        <v>10</v>
      </c>
      <c r="DI9" s="10">
        <v>6453</v>
      </c>
      <c r="DJ9" s="10">
        <v>377</v>
      </c>
      <c r="DK9" s="10">
        <v>436</v>
      </c>
      <c r="DL9" s="49">
        <v>7.4300000000000005E-2</v>
      </c>
      <c r="DM9" s="10"/>
      <c r="DN9" s="69"/>
      <c r="DO9" s="69"/>
      <c r="DP9" s="69"/>
      <c r="DQ9" s="49"/>
      <c r="DR9" s="10"/>
      <c r="DS9" s="25"/>
      <c r="DT9" s="25"/>
      <c r="DU9" s="25"/>
      <c r="DV9" s="49"/>
      <c r="DW9" s="10">
        <v>13</v>
      </c>
      <c r="DX9" s="69">
        <v>2223.67</v>
      </c>
      <c r="DY9" s="69">
        <v>223.12</v>
      </c>
      <c r="DZ9" s="69">
        <v>45.78</v>
      </c>
      <c r="EA9" s="49">
        <v>0.83179999999999998</v>
      </c>
      <c r="EB9" s="83"/>
      <c r="EC9" s="49"/>
      <c r="ED9" s="49"/>
      <c r="EE9" s="50"/>
      <c r="EF9" s="49"/>
      <c r="EG9" s="10">
        <v>2</v>
      </c>
      <c r="EH9" s="69">
        <v>20117</v>
      </c>
      <c r="EI9" s="69">
        <v>671</v>
      </c>
      <c r="EJ9" s="69">
        <v>3205</v>
      </c>
      <c r="EK9" s="49">
        <v>0.29599999999999999</v>
      </c>
      <c r="EL9" s="10"/>
      <c r="EM9" s="69"/>
      <c r="EN9" s="69"/>
      <c r="EO9" s="69"/>
      <c r="EP9" s="49"/>
      <c r="EQ9" s="124"/>
      <c r="ER9" s="124">
        <v>399</v>
      </c>
      <c r="ES9" s="124">
        <v>361</v>
      </c>
      <c r="ET9" s="124">
        <v>15</v>
      </c>
      <c r="EU9" s="49">
        <v>1.15E-2</v>
      </c>
      <c r="EV9" s="10">
        <v>25</v>
      </c>
      <c r="EW9" s="10">
        <v>188</v>
      </c>
      <c r="EX9" s="10">
        <v>345</v>
      </c>
      <c r="EY9" s="10">
        <v>96</v>
      </c>
      <c r="EZ9" s="49">
        <v>8.8000000000000005E-3</v>
      </c>
      <c r="FA9" s="10">
        <v>16</v>
      </c>
      <c r="FB9" s="69">
        <v>149</v>
      </c>
      <c r="FC9" s="69">
        <v>2</v>
      </c>
      <c r="FD9" s="69">
        <v>8</v>
      </c>
      <c r="FE9" s="49">
        <v>8.0999999999999996E-3</v>
      </c>
    </row>
    <row r="10" spans="1:161" ht="30" x14ac:dyDescent="0.25">
      <c r="A10" s="26" t="s">
        <v>181</v>
      </c>
      <c r="B10" s="10"/>
      <c r="C10" s="10"/>
      <c r="D10" s="10"/>
      <c r="E10" s="25"/>
      <c r="F10" s="49"/>
      <c r="G10" s="10"/>
      <c r="H10" s="25"/>
      <c r="I10" s="25"/>
      <c r="J10" s="25"/>
      <c r="K10" s="49"/>
      <c r="L10" s="25"/>
      <c r="M10" s="25"/>
      <c r="N10" s="25"/>
      <c r="O10" s="25"/>
      <c r="P10" s="25"/>
      <c r="Q10" s="10"/>
      <c r="R10" s="10"/>
      <c r="S10" s="10"/>
      <c r="T10" s="10"/>
      <c r="U10" s="81"/>
      <c r="V10" s="10">
        <v>10</v>
      </c>
      <c r="W10" s="10"/>
      <c r="X10" s="10"/>
      <c r="Y10" s="10">
        <v>233.10747000000001</v>
      </c>
      <c r="Z10" s="49">
        <v>1.7999999999999999E-2</v>
      </c>
      <c r="AA10" s="25"/>
      <c r="AB10" s="25"/>
      <c r="AC10" s="25"/>
      <c r="AD10" s="25"/>
      <c r="AE10" s="49"/>
      <c r="AF10" s="10"/>
      <c r="AG10" s="25"/>
      <c r="AH10" s="25"/>
      <c r="AI10" s="25"/>
      <c r="AJ10" s="49"/>
      <c r="AK10" s="10"/>
      <c r="AL10" s="25"/>
      <c r="AM10" s="25"/>
      <c r="AN10" s="25"/>
      <c r="AO10" s="49"/>
      <c r="AP10" s="10"/>
      <c r="AQ10" s="10"/>
      <c r="AR10" s="10"/>
      <c r="AS10" s="10"/>
      <c r="AT10" s="49"/>
      <c r="AU10" s="10">
        <v>12</v>
      </c>
      <c r="AV10" s="10">
        <v>-10</v>
      </c>
      <c r="AW10" s="10"/>
      <c r="AX10" s="10">
        <v>413</v>
      </c>
      <c r="AY10" s="49">
        <v>1.9E-2</v>
      </c>
      <c r="AZ10" s="10"/>
      <c r="BA10" s="10"/>
      <c r="BB10" s="10"/>
      <c r="BC10" s="10"/>
      <c r="BD10" s="49"/>
      <c r="BE10" s="10"/>
      <c r="BF10" s="10"/>
      <c r="BG10" s="10"/>
      <c r="BH10" s="25"/>
      <c r="BI10" s="49"/>
      <c r="BJ10" s="10">
        <v>19</v>
      </c>
      <c r="BK10" s="10"/>
      <c r="BL10" s="10"/>
      <c r="BM10" s="10">
        <v>12659</v>
      </c>
      <c r="BN10" s="49">
        <v>0.1</v>
      </c>
      <c r="BO10" s="25"/>
      <c r="BP10" s="10"/>
      <c r="BQ10" s="10"/>
      <c r="BR10" s="10"/>
      <c r="BS10" s="77"/>
      <c r="BT10" s="10"/>
      <c r="BU10" s="10"/>
      <c r="BV10" s="10"/>
      <c r="BW10" s="10"/>
      <c r="BX10" s="49"/>
      <c r="BY10" s="25"/>
      <c r="BZ10" s="10"/>
      <c r="CA10" s="10"/>
      <c r="CB10" s="10"/>
      <c r="CC10" s="25"/>
      <c r="CD10" s="25"/>
      <c r="CE10" s="10"/>
      <c r="CF10" s="10"/>
      <c r="CG10" s="10"/>
      <c r="CH10" s="49"/>
      <c r="CI10" s="25"/>
      <c r="CJ10" s="25"/>
      <c r="CK10" s="25"/>
      <c r="CL10" s="25"/>
      <c r="CM10" s="50"/>
      <c r="CN10" s="25"/>
      <c r="CO10" s="10"/>
      <c r="CP10" s="10"/>
      <c r="CQ10" s="10"/>
      <c r="CR10" s="83"/>
      <c r="CS10" s="10"/>
      <c r="CT10" s="25"/>
      <c r="CU10" s="25"/>
      <c r="CV10" s="25"/>
      <c r="CW10" s="49"/>
      <c r="CX10" s="10"/>
      <c r="CY10" s="25"/>
      <c r="CZ10" s="25"/>
      <c r="DA10" s="25"/>
      <c r="DB10" s="49"/>
      <c r="DC10" s="25"/>
      <c r="DD10" s="10"/>
      <c r="DE10" s="10"/>
      <c r="DF10" s="10"/>
      <c r="DG10" s="25"/>
      <c r="DH10" s="10"/>
      <c r="DI10" s="10"/>
      <c r="DJ10" s="10"/>
      <c r="DK10" s="10"/>
      <c r="DL10" s="49"/>
      <c r="DM10" s="10">
        <v>3</v>
      </c>
      <c r="DN10" s="69"/>
      <c r="DO10" s="69"/>
      <c r="DP10" s="69">
        <v>186.4</v>
      </c>
      <c r="DQ10" s="49">
        <v>8.0999999999999996E-3</v>
      </c>
      <c r="DR10" s="10"/>
      <c r="DS10" s="25"/>
      <c r="DT10" s="25"/>
      <c r="DU10" s="25"/>
      <c r="DV10" s="49"/>
      <c r="DW10" s="10"/>
      <c r="DX10" s="69"/>
      <c r="DY10" s="69"/>
      <c r="DZ10" s="69"/>
      <c r="EA10" s="49"/>
      <c r="EB10" s="83"/>
      <c r="EC10" s="49"/>
      <c r="ED10" s="49"/>
      <c r="EE10" s="50"/>
      <c r="EF10" s="49"/>
      <c r="EG10" s="10"/>
      <c r="EH10" s="25"/>
      <c r="EI10" s="25"/>
      <c r="EJ10" s="25"/>
      <c r="EK10" s="49"/>
      <c r="EL10" s="25"/>
      <c r="EM10" s="25"/>
      <c r="EN10" s="25"/>
      <c r="EO10" s="25"/>
      <c r="EP10" s="25"/>
      <c r="EQ10" s="124"/>
      <c r="ER10" s="124">
        <v>1507</v>
      </c>
      <c r="ES10" s="124">
        <v>609</v>
      </c>
      <c r="ET10" s="124">
        <v>34</v>
      </c>
      <c r="EU10" s="49">
        <v>3.1800000000000002E-2</v>
      </c>
      <c r="EV10" s="10"/>
      <c r="EW10" s="10"/>
      <c r="EX10" s="10"/>
      <c r="EY10" s="10"/>
      <c r="EZ10" s="49"/>
      <c r="FA10" s="10">
        <v>3</v>
      </c>
      <c r="FB10" s="25"/>
      <c r="FC10" s="25"/>
      <c r="FD10" s="69">
        <v>46</v>
      </c>
      <c r="FE10" s="49">
        <v>2.3999999999999998E-3</v>
      </c>
    </row>
    <row r="11" spans="1:161" x14ac:dyDescent="0.25">
      <c r="A11" s="26" t="s">
        <v>182</v>
      </c>
      <c r="B11" s="10"/>
      <c r="C11" s="10"/>
      <c r="D11" s="10"/>
      <c r="E11" s="25"/>
      <c r="F11" s="49"/>
      <c r="G11" s="10"/>
      <c r="H11" s="25"/>
      <c r="I11" s="25"/>
      <c r="J11" s="25"/>
      <c r="K11" s="49"/>
      <c r="L11" s="25"/>
      <c r="M11" s="25"/>
      <c r="N11" s="25"/>
      <c r="O11" s="25"/>
      <c r="P11" s="25"/>
      <c r="Q11" s="10"/>
      <c r="R11" s="10"/>
      <c r="S11" s="10"/>
      <c r="T11" s="10"/>
      <c r="U11" s="81"/>
      <c r="V11" s="10"/>
      <c r="W11" s="25"/>
      <c r="X11" s="25"/>
      <c r="Y11" s="25"/>
      <c r="Z11" s="49"/>
      <c r="AA11" s="25"/>
      <c r="AB11" s="25"/>
      <c r="AC11" s="25"/>
      <c r="AD11" s="25"/>
      <c r="AE11" s="49"/>
      <c r="AF11" s="10"/>
      <c r="AG11" s="25"/>
      <c r="AH11" s="25"/>
      <c r="AI11" s="25"/>
      <c r="AJ11" s="49"/>
      <c r="AK11" s="10"/>
      <c r="AL11" s="25"/>
      <c r="AM11" s="25"/>
      <c r="AN11" s="25"/>
      <c r="AO11" s="49"/>
      <c r="AP11" s="25"/>
      <c r="AQ11" s="10"/>
      <c r="AR11" s="10"/>
      <c r="AS11" s="10"/>
      <c r="AT11" s="77"/>
      <c r="AU11" s="10"/>
      <c r="AV11" s="10"/>
      <c r="AW11" s="10"/>
      <c r="AX11" s="10"/>
      <c r="AY11" s="49"/>
      <c r="AZ11" s="10"/>
      <c r="BA11" s="10"/>
      <c r="BB11" s="10"/>
      <c r="BC11" s="10"/>
      <c r="BD11" s="49"/>
      <c r="BE11" s="10"/>
      <c r="BF11" s="10"/>
      <c r="BG11" s="10"/>
      <c r="BH11" s="25"/>
      <c r="BI11" s="49"/>
      <c r="BJ11" s="10"/>
      <c r="BK11" s="10"/>
      <c r="BL11" s="10"/>
      <c r="BM11" s="10"/>
      <c r="BN11" s="49"/>
      <c r="BO11" s="25"/>
      <c r="BP11" s="10"/>
      <c r="BQ11" s="10"/>
      <c r="BR11" s="10"/>
      <c r="BS11" s="77"/>
      <c r="BT11" s="10"/>
      <c r="BU11" s="10"/>
      <c r="BV11" s="10"/>
      <c r="BW11" s="10"/>
      <c r="BX11" s="49"/>
      <c r="BY11" s="25"/>
      <c r="BZ11" s="10"/>
      <c r="CA11" s="10"/>
      <c r="CB11" s="10"/>
      <c r="CC11" s="50"/>
      <c r="CD11" s="25"/>
      <c r="CE11" s="10"/>
      <c r="CF11" s="10"/>
      <c r="CG11" s="10"/>
      <c r="CH11" s="49"/>
      <c r="CI11" s="25"/>
      <c r="CJ11" s="25"/>
      <c r="CK11" s="25"/>
      <c r="CL11" s="25"/>
      <c r="CM11" s="50"/>
      <c r="CN11" s="25"/>
      <c r="CO11" s="10"/>
      <c r="CP11" s="10"/>
      <c r="CQ11" s="10"/>
      <c r="CR11" s="83"/>
      <c r="CS11" s="10"/>
      <c r="CT11" s="25"/>
      <c r="CU11" s="25"/>
      <c r="CV11" s="25"/>
      <c r="CW11" s="49"/>
      <c r="CX11" s="10"/>
      <c r="CY11" s="25"/>
      <c r="CZ11" s="25"/>
      <c r="DA11" s="25"/>
      <c r="DB11" s="49"/>
      <c r="DC11" s="25"/>
      <c r="DD11" s="10"/>
      <c r="DE11" s="10"/>
      <c r="DF11" s="10"/>
      <c r="DG11" s="25"/>
      <c r="DH11" s="10"/>
      <c r="DI11" s="10"/>
      <c r="DJ11" s="10"/>
      <c r="DK11" s="10"/>
      <c r="DL11" s="49"/>
      <c r="DM11" s="10"/>
      <c r="DN11" s="69"/>
      <c r="DO11" s="69"/>
      <c r="DP11" s="69"/>
      <c r="DQ11" s="49"/>
      <c r="DR11" s="10"/>
      <c r="DS11" s="25"/>
      <c r="DT11" s="25"/>
      <c r="DU11" s="25"/>
      <c r="DV11" s="49"/>
      <c r="DW11" s="10"/>
      <c r="DX11" s="69"/>
      <c r="DY11" s="69"/>
      <c r="DZ11" s="69"/>
      <c r="EA11" s="49"/>
      <c r="EB11" s="83"/>
      <c r="EC11" s="49"/>
      <c r="ED11" s="49"/>
      <c r="EE11" s="50"/>
      <c r="EF11" s="49"/>
      <c r="EG11" s="10"/>
      <c r="EH11" s="25"/>
      <c r="EI11" s="25"/>
      <c r="EJ11" s="25"/>
      <c r="EK11" s="49"/>
      <c r="EL11" s="25"/>
      <c r="EM11" s="25"/>
      <c r="EN11" s="25"/>
      <c r="EO11" s="25"/>
      <c r="EP11" s="25"/>
      <c r="EQ11" s="10"/>
      <c r="ER11" s="124"/>
      <c r="ES11" s="124"/>
      <c r="ET11" s="124"/>
      <c r="EU11" s="49"/>
      <c r="EV11" s="10"/>
      <c r="EW11" s="10"/>
      <c r="EX11" s="10"/>
      <c r="EY11" s="10"/>
      <c r="EZ11" s="49"/>
      <c r="FA11" s="10"/>
      <c r="FB11" s="25"/>
      <c r="FC11" s="25"/>
      <c r="FD11" s="25"/>
      <c r="FE11" s="49"/>
    </row>
    <row r="12" spans="1:161" x14ac:dyDescent="0.25">
      <c r="A12" s="25" t="s">
        <v>183</v>
      </c>
      <c r="B12" s="10"/>
      <c r="C12" s="10"/>
      <c r="D12" s="10"/>
      <c r="E12" s="25"/>
      <c r="F12" s="49"/>
      <c r="G12" s="10"/>
      <c r="H12" s="25"/>
      <c r="I12" s="25"/>
      <c r="J12" s="25"/>
      <c r="K12" s="49"/>
      <c r="L12" s="25"/>
      <c r="M12" s="25"/>
      <c r="N12" s="25"/>
      <c r="O12" s="25"/>
      <c r="P12" s="25"/>
      <c r="Q12" s="10"/>
      <c r="R12" s="10"/>
      <c r="S12" s="10"/>
      <c r="T12" s="10"/>
      <c r="U12" s="81"/>
      <c r="V12" s="10"/>
      <c r="W12" s="25"/>
      <c r="X12" s="25"/>
      <c r="Y12" s="25"/>
      <c r="Z12" s="49"/>
      <c r="AA12" s="25"/>
      <c r="AB12" s="25"/>
      <c r="AC12" s="25"/>
      <c r="AD12" s="25"/>
      <c r="AE12" s="49"/>
      <c r="AF12" s="10"/>
      <c r="AG12" s="25"/>
      <c r="AH12" s="25"/>
      <c r="AI12" s="25"/>
      <c r="AJ12" s="49"/>
      <c r="AK12" s="10"/>
      <c r="AL12" s="25"/>
      <c r="AM12" s="25"/>
      <c r="AN12" s="25"/>
      <c r="AO12" s="49"/>
      <c r="AP12" s="25"/>
      <c r="AQ12" s="10"/>
      <c r="AR12" s="10"/>
      <c r="AS12" s="10"/>
      <c r="AT12" s="77"/>
      <c r="AU12" s="10">
        <v>1</v>
      </c>
      <c r="AV12" s="10">
        <v>4631</v>
      </c>
      <c r="AW12" s="10">
        <v>1294</v>
      </c>
      <c r="AX12" s="10">
        <v>86</v>
      </c>
      <c r="AY12" s="49">
        <v>0.28410000000000002</v>
      </c>
      <c r="AZ12" s="10"/>
      <c r="BA12" s="10"/>
      <c r="BB12" s="10"/>
      <c r="BC12" s="10"/>
      <c r="BD12" s="49"/>
      <c r="BE12" s="10">
        <v>16</v>
      </c>
      <c r="BF12" s="10"/>
      <c r="BG12" s="10"/>
      <c r="BH12" s="69">
        <v>2232</v>
      </c>
      <c r="BI12" s="49">
        <v>1.9599999999999999E-2</v>
      </c>
      <c r="BJ12" s="10"/>
      <c r="BK12" s="10"/>
      <c r="BL12" s="10"/>
      <c r="BM12" s="10"/>
      <c r="BN12" s="25"/>
      <c r="BO12" s="10">
        <v>13</v>
      </c>
      <c r="BP12" s="10">
        <v>-4</v>
      </c>
      <c r="BQ12" s="10"/>
      <c r="BR12" s="10">
        <v>2790</v>
      </c>
      <c r="BS12" s="77">
        <v>0.05</v>
      </c>
      <c r="BT12" s="10">
        <v>1</v>
      </c>
      <c r="BU12" s="10"/>
      <c r="BV12" s="10"/>
      <c r="BW12" s="10">
        <v>2</v>
      </c>
      <c r="BX12" s="49">
        <v>1E-3</v>
      </c>
      <c r="BY12" s="25"/>
      <c r="BZ12" s="10"/>
      <c r="CA12" s="10"/>
      <c r="CB12" s="10"/>
      <c r="CC12" s="25"/>
      <c r="CD12" s="10">
        <v>1</v>
      </c>
      <c r="CE12" s="10"/>
      <c r="CF12" s="10"/>
      <c r="CG12" s="10">
        <v>12</v>
      </c>
      <c r="CH12" s="49">
        <v>8.0000000000000004E-4</v>
      </c>
      <c r="CI12" s="25"/>
      <c r="CJ12" s="25"/>
      <c r="CK12" s="25"/>
      <c r="CL12" s="25"/>
      <c r="CM12" s="50"/>
      <c r="CN12" s="25"/>
      <c r="CO12" s="10"/>
      <c r="CP12" s="10"/>
      <c r="CQ12" s="10"/>
      <c r="CR12" s="83"/>
      <c r="CS12" s="10"/>
      <c r="CT12" s="25"/>
      <c r="CU12" s="25"/>
      <c r="CV12" s="25"/>
      <c r="CW12" s="49"/>
      <c r="CX12" s="10"/>
      <c r="CY12" s="25"/>
      <c r="CZ12" s="25"/>
      <c r="DA12" s="25"/>
      <c r="DB12" s="49"/>
      <c r="DC12" s="25"/>
      <c r="DD12" s="10"/>
      <c r="DE12" s="10"/>
      <c r="DF12" s="10"/>
      <c r="DG12" s="25"/>
      <c r="DH12" s="10">
        <v>28</v>
      </c>
      <c r="DI12" s="10">
        <v>7338</v>
      </c>
      <c r="DJ12" s="10">
        <v>262</v>
      </c>
      <c r="DK12" s="10">
        <v>4841</v>
      </c>
      <c r="DL12" s="49">
        <v>0.12720000000000001</v>
      </c>
      <c r="DM12" s="10"/>
      <c r="DN12" s="69"/>
      <c r="DO12" s="69"/>
      <c r="DP12" s="69"/>
      <c r="DQ12" s="49"/>
      <c r="DR12" s="10"/>
      <c r="DS12" s="25"/>
      <c r="DT12" s="25"/>
      <c r="DU12" s="25"/>
      <c r="DV12" s="49"/>
      <c r="DW12" s="10"/>
      <c r="DX12" s="69"/>
      <c r="DY12" s="69"/>
      <c r="DZ12" s="69"/>
      <c r="EA12" s="49"/>
      <c r="EB12" s="83"/>
      <c r="EC12" s="49"/>
      <c r="ED12" s="49"/>
      <c r="EE12" s="50"/>
      <c r="EF12" s="49"/>
      <c r="EG12" s="10">
        <v>11</v>
      </c>
      <c r="EH12" s="25"/>
      <c r="EI12" s="25"/>
      <c r="EJ12" s="69">
        <v>913</v>
      </c>
      <c r="EK12" s="49">
        <v>1.1299999999999999E-2</v>
      </c>
      <c r="EL12" s="25"/>
      <c r="EM12" s="25"/>
      <c r="EN12" s="25"/>
      <c r="EO12" s="25"/>
      <c r="EP12" s="25"/>
      <c r="EQ12" s="10"/>
      <c r="ER12" s="124">
        <v>32914</v>
      </c>
      <c r="ES12" s="124">
        <v>3472</v>
      </c>
      <c r="ET12" s="124">
        <v>14585</v>
      </c>
      <c r="EU12" s="49">
        <v>0.75470000000000004</v>
      </c>
      <c r="EV12" s="10">
        <v>24</v>
      </c>
      <c r="EW12" s="10">
        <v>33322</v>
      </c>
      <c r="EX12" s="10">
        <v>6155</v>
      </c>
      <c r="EY12" s="10">
        <v>10538</v>
      </c>
      <c r="EZ12" s="49">
        <v>0.6986</v>
      </c>
      <c r="FA12" s="10"/>
      <c r="FB12" s="25"/>
      <c r="FC12" s="25"/>
      <c r="FD12" s="25"/>
      <c r="FE12" s="49"/>
    </row>
    <row r="13" spans="1:161" x14ac:dyDescent="0.25">
      <c r="A13" s="25" t="s">
        <v>184</v>
      </c>
      <c r="B13" s="10"/>
      <c r="C13" s="10"/>
      <c r="D13" s="10"/>
      <c r="E13" s="25"/>
      <c r="F13" s="49"/>
      <c r="G13" s="10"/>
      <c r="H13" s="25"/>
      <c r="I13" s="25"/>
      <c r="J13" s="25"/>
      <c r="K13" s="49"/>
      <c r="L13" s="25"/>
      <c r="M13" s="25"/>
      <c r="N13" s="25"/>
      <c r="O13" s="25"/>
      <c r="P13" s="25"/>
      <c r="Q13" s="10"/>
      <c r="R13" s="10"/>
      <c r="S13" s="10"/>
      <c r="T13" s="10"/>
      <c r="U13" s="81"/>
      <c r="V13" s="10"/>
      <c r="W13" s="25"/>
      <c r="X13" s="25"/>
      <c r="Y13" s="25"/>
      <c r="Z13" s="49"/>
      <c r="AA13" s="25"/>
      <c r="AB13" s="25"/>
      <c r="AC13" s="25"/>
      <c r="AD13" s="25"/>
      <c r="AE13" s="49"/>
      <c r="AF13" s="10"/>
      <c r="AG13" s="25"/>
      <c r="AH13" s="25"/>
      <c r="AI13" s="25"/>
      <c r="AJ13" s="49"/>
      <c r="AK13" s="10"/>
      <c r="AL13" s="25"/>
      <c r="AM13" s="25"/>
      <c r="AN13" s="25"/>
      <c r="AO13" s="49"/>
      <c r="AP13" s="25"/>
      <c r="AQ13" s="10"/>
      <c r="AR13" s="10"/>
      <c r="AS13" s="10"/>
      <c r="AT13" s="77"/>
      <c r="AU13" s="10"/>
      <c r="AV13" s="10"/>
      <c r="AW13" s="10"/>
      <c r="AX13" s="10"/>
      <c r="AY13" s="49"/>
      <c r="AZ13" s="10"/>
      <c r="BA13" s="10"/>
      <c r="BB13" s="10"/>
      <c r="BC13" s="10"/>
      <c r="BD13" s="49"/>
      <c r="BE13" s="10"/>
      <c r="BF13" s="10"/>
      <c r="BG13" s="10"/>
      <c r="BH13" s="25"/>
      <c r="BI13" s="77"/>
      <c r="BJ13" s="10"/>
      <c r="BK13" s="10"/>
      <c r="BL13" s="10"/>
      <c r="BM13" s="10"/>
      <c r="BN13" s="25"/>
      <c r="BO13" s="25"/>
      <c r="BP13" s="10"/>
      <c r="BQ13" s="10"/>
      <c r="BR13" s="10"/>
      <c r="BS13" s="77"/>
      <c r="BT13" s="10"/>
      <c r="BU13" s="10"/>
      <c r="BV13" s="10"/>
      <c r="BW13" s="10"/>
      <c r="BX13" s="49"/>
      <c r="BY13" s="25"/>
      <c r="BZ13" s="10"/>
      <c r="CA13" s="10"/>
      <c r="CB13" s="10"/>
      <c r="CC13" s="25"/>
      <c r="CD13" s="25"/>
      <c r="CE13" s="10"/>
      <c r="CF13" s="10"/>
      <c r="CG13" s="10"/>
      <c r="CH13" s="25"/>
      <c r="CI13" s="25"/>
      <c r="CJ13" s="25"/>
      <c r="CK13" s="25"/>
      <c r="CL13" s="25"/>
      <c r="CM13" s="25"/>
      <c r="CN13" s="25"/>
      <c r="CO13" s="10"/>
      <c r="CP13" s="10"/>
      <c r="CQ13" s="10"/>
      <c r="CR13" s="83"/>
      <c r="CS13" s="10"/>
      <c r="CT13" s="25"/>
      <c r="CU13" s="25"/>
      <c r="CV13" s="25"/>
      <c r="CW13" s="49"/>
      <c r="CX13" s="10"/>
      <c r="CY13" s="25"/>
      <c r="CZ13" s="25"/>
      <c r="DA13" s="25"/>
      <c r="DB13" s="49"/>
      <c r="DC13" s="25"/>
      <c r="DD13" s="10"/>
      <c r="DE13" s="10"/>
      <c r="DF13" s="10"/>
      <c r="DG13" s="25"/>
      <c r="DH13" s="10"/>
      <c r="DI13" s="10"/>
      <c r="DJ13" s="10"/>
      <c r="DK13" s="10"/>
      <c r="DL13" s="49"/>
      <c r="DM13" s="10"/>
      <c r="DN13" s="69"/>
      <c r="DO13" s="69"/>
      <c r="DP13" s="69"/>
      <c r="DQ13" s="49"/>
      <c r="DR13" s="10"/>
      <c r="DS13" s="25"/>
      <c r="DT13" s="25"/>
      <c r="DU13" s="25"/>
      <c r="DV13" s="49"/>
      <c r="DW13" s="10"/>
      <c r="DX13" s="69"/>
      <c r="DY13" s="69"/>
      <c r="DZ13" s="69"/>
      <c r="EA13" s="49"/>
      <c r="EB13" s="83"/>
      <c r="EC13" s="49"/>
      <c r="ED13" s="49"/>
      <c r="EE13" s="50"/>
      <c r="EF13" s="49"/>
      <c r="EG13" s="10"/>
      <c r="EH13" s="25"/>
      <c r="EI13" s="25"/>
      <c r="EJ13" s="25"/>
      <c r="EK13" s="49"/>
      <c r="EL13" s="25"/>
      <c r="EM13" s="25"/>
      <c r="EN13" s="25"/>
      <c r="EO13" s="25"/>
      <c r="EP13" s="25"/>
      <c r="EQ13" s="10"/>
      <c r="ER13" s="124">
        <v>460</v>
      </c>
      <c r="ES13" s="124">
        <v>17</v>
      </c>
      <c r="ET13" s="124"/>
      <c r="EU13" s="49">
        <v>7.1000000000000004E-3</v>
      </c>
      <c r="EV13" s="10"/>
      <c r="EW13" s="10"/>
      <c r="EX13" s="10"/>
      <c r="EY13" s="10"/>
      <c r="EZ13" s="49"/>
      <c r="FA13" s="10"/>
      <c r="FB13" s="25"/>
      <c r="FC13" s="25"/>
      <c r="FD13" s="25"/>
      <c r="FE13" s="49"/>
    </row>
    <row r="14" spans="1:161" x14ac:dyDescent="0.25">
      <c r="A14" s="69" t="s">
        <v>38</v>
      </c>
      <c r="B14" s="10"/>
      <c r="C14" s="10"/>
      <c r="D14" s="10"/>
      <c r="E14" s="69"/>
      <c r="F14" s="49"/>
      <c r="G14" s="10"/>
      <c r="H14" s="69"/>
      <c r="I14" s="69"/>
      <c r="J14" s="69"/>
      <c r="K14" s="49"/>
      <c r="L14" s="69"/>
      <c r="M14" s="69"/>
      <c r="N14" s="69"/>
      <c r="O14" s="69"/>
      <c r="P14" s="69"/>
      <c r="Q14" s="10"/>
      <c r="R14" s="10"/>
      <c r="S14" s="10"/>
      <c r="T14" s="10"/>
      <c r="U14" s="81"/>
      <c r="V14" s="10"/>
      <c r="W14" s="69"/>
      <c r="X14" s="69"/>
      <c r="Y14" s="69"/>
      <c r="Z14" s="49"/>
      <c r="AA14" s="69"/>
      <c r="AB14" s="69"/>
      <c r="AC14" s="69"/>
      <c r="AD14" s="69"/>
      <c r="AE14" s="49"/>
      <c r="AF14" s="10"/>
      <c r="AG14" s="69"/>
      <c r="AH14" s="69"/>
      <c r="AI14" s="69"/>
      <c r="AJ14" s="49"/>
      <c r="AK14" s="10"/>
      <c r="AL14" s="69"/>
      <c r="AM14" s="69"/>
      <c r="AN14" s="69"/>
      <c r="AO14" s="49"/>
      <c r="AP14" s="69"/>
      <c r="AQ14" s="10"/>
      <c r="AR14" s="10"/>
      <c r="AS14" s="10"/>
      <c r="AT14" s="49"/>
      <c r="AU14" s="10">
        <v>8</v>
      </c>
      <c r="AV14" s="10">
        <v>4748</v>
      </c>
      <c r="AW14" s="10">
        <v>1338</v>
      </c>
      <c r="AX14" s="10">
        <v>255</v>
      </c>
      <c r="AY14" s="49">
        <v>0.29970000000000002</v>
      </c>
      <c r="AZ14" s="10"/>
      <c r="BA14" s="10"/>
      <c r="BB14" s="10"/>
      <c r="BC14" s="10"/>
      <c r="BD14" s="49"/>
      <c r="BE14" s="10"/>
      <c r="BF14" s="10"/>
      <c r="BG14" s="10"/>
      <c r="BH14" s="69"/>
      <c r="BI14" s="77"/>
      <c r="BJ14" s="10"/>
      <c r="BK14" s="10"/>
      <c r="BL14" s="10"/>
      <c r="BM14" s="10"/>
      <c r="BN14" s="69"/>
      <c r="BO14" s="69"/>
      <c r="BP14" s="10"/>
      <c r="BQ14" s="10"/>
      <c r="BR14" s="10"/>
      <c r="BS14" s="77"/>
      <c r="BT14" s="10"/>
      <c r="BU14" s="10"/>
      <c r="BV14" s="10"/>
      <c r="BW14" s="10"/>
      <c r="BX14" s="49"/>
      <c r="BY14" s="69"/>
      <c r="BZ14" s="10"/>
      <c r="CA14" s="10"/>
      <c r="CB14" s="10"/>
      <c r="CC14" s="69"/>
      <c r="CD14" s="69"/>
      <c r="CE14" s="10"/>
      <c r="CF14" s="10"/>
      <c r="CG14" s="10"/>
      <c r="CH14" s="69"/>
      <c r="CI14" s="69"/>
      <c r="CJ14" s="69"/>
      <c r="CK14" s="69"/>
      <c r="CL14" s="69"/>
      <c r="CM14" s="69"/>
      <c r="CN14" s="69"/>
      <c r="CO14" s="10"/>
      <c r="CP14" s="10"/>
      <c r="CQ14" s="10"/>
      <c r="CR14" s="83"/>
      <c r="CS14" s="10"/>
      <c r="CT14" s="69"/>
      <c r="CU14" s="69"/>
      <c r="CV14" s="69"/>
      <c r="CW14" s="49"/>
      <c r="CX14" s="10"/>
      <c r="CY14" s="69"/>
      <c r="CZ14" s="69"/>
      <c r="DA14" s="69"/>
      <c r="DB14" s="49"/>
      <c r="DC14" s="69"/>
      <c r="DD14" s="10"/>
      <c r="DE14" s="10"/>
      <c r="DF14" s="10"/>
      <c r="DG14" s="69"/>
      <c r="DH14" s="10"/>
      <c r="DI14" s="10"/>
      <c r="DJ14" s="10"/>
      <c r="DK14" s="10"/>
      <c r="DL14" s="49"/>
      <c r="DM14" s="10"/>
      <c r="DN14" s="69"/>
      <c r="DO14" s="69"/>
      <c r="DP14" s="69"/>
      <c r="DQ14" s="49"/>
      <c r="DR14" s="10"/>
      <c r="DS14" s="69"/>
      <c r="DT14" s="69"/>
      <c r="DU14" s="69"/>
      <c r="DV14" s="49"/>
      <c r="DW14" s="10"/>
      <c r="DX14" s="69"/>
      <c r="DY14" s="69"/>
      <c r="DZ14" s="69"/>
      <c r="EA14" s="49"/>
      <c r="EB14" s="83"/>
      <c r="EC14" s="49"/>
      <c r="ED14" s="49"/>
      <c r="EE14" s="50"/>
      <c r="EF14" s="49"/>
      <c r="EG14" s="10">
        <v>1</v>
      </c>
      <c r="EH14" s="69">
        <v>12</v>
      </c>
      <c r="EI14" s="69"/>
      <c r="EJ14" s="69">
        <v>-2</v>
      </c>
      <c r="EK14" s="49">
        <v>1E-4</v>
      </c>
      <c r="EL14" s="69"/>
      <c r="EM14" s="69"/>
      <c r="EN14" s="69"/>
      <c r="EO14" s="69"/>
      <c r="EP14" s="69"/>
      <c r="EQ14" s="10"/>
      <c r="ER14" s="124">
        <v>3632</v>
      </c>
      <c r="ES14" s="124"/>
      <c r="ET14" s="124"/>
      <c r="EU14" s="49">
        <v>5.3800000000000001E-2</v>
      </c>
      <c r="EV14" s="10"/>
      <c r="EW14" s="10"/>
      <c r="EX14" s="10"/>
      <c r="EY14" s="10"/>
      <c r="EZ14" s="49"/>
      <c r="FA14" s="10"/>
      <c r="FB14" s="69"/>
      <c r="FC14" s="69"/>
      <c r="FD14" s="69"/>
      <c r="FE14" s="49"/>
    </row>
    <row r="15" spans="1:161" s="54" customFormat="1" x14ac:dyDescent="0.25">
      <c r="A15" s="27" t="s">
        <v>157</v>
      </c>
      <c r="B15" s="43">
        <f t="shared" ref="B15:Y15" si="0">SUM(B5:B13)</f>
        <v>3</v>
      </c>
      <c r="C15" s="43">
        <f t="shared" si="0"/>
        <v>3242</v>
      </c>
      <c r="D15" s="43">
        <f t="shared" si="0"/>
        <v>142.30000000000001</v>
      </c>
      <c r="E15" s="27">
        <f t="shared" si="0"/>
        <v>-16.32</v>
      </c>
      <c r="F15" s="51">
        <f t="shared" si="0"/>
        <v>1.0001</v>
      </c>
      <c r="G15" s="43">
        <f t="shared" si="0"/>
        <v>6</v>
      </c>
      <c r="H15" s="27">
        <f t="shared" si="0"/>
        <v>8350.2000000000007</v>
      </c>
      <c r="I15" s="27">
        <f t="shared" si="0"/>
        <v>190.4</v>
      </c>
      <c r="J15" s="27">
        <f t="shared" si="0"/>
        <v>0</v>
      </c>
      <c r="K15" s="51">
        <f t="shared" si="0"/>
        <v>1</v>
      </c>
      <c r="L15" s="43">
        <f t="shared" si="0"/>
        <v>61</v>
      </c>
      <c r="M15" s="27">
        <f t="shared" si="0"/>
        <v>12835.599999999999</v>
      </c>
      <c r="N15" s="27">
        <f t="shared" si="0"/>
        <v>554.77</v>
      </c>
      <c r="O15" s="27">
        <f t="shared" si="0"/>
        <v>-502.58</v>
      </c>
      <c r="P15" s="51">
        <f t="shared" si="0"/>
        <v>1</v>
      </c>
      <c r="Q15" s="43">
        <f t="shared" si="0"/>
        <v>193</v>
      </c>
      <c r="R15" s="43">
        <f t="shared" si="0"/>
        <v>66449.600000000006</v>
      </c>
      <c r="S15" s="43">
        <f t="shared" si="0"/>
        <v>4228.08</v>
      </c>
      <c r="T15" s="43">
        <f t="shared" si="0"/>
        <v>25241.42</v>
      </c>
      <c r="U15" s="78">
        <f t="shared" si="0"/>
        <v>1</v>
      </c>
      <c r="V15" s="43">
        <f t="shared" si="0"/>
        <v>79</v>
      </c>
      <c r="W15" s="43">
        <f t="shared" si="0"/>
        <v>10746.54149</v>
      </c>
      <c r="X15" s="43">
        <f t="shared" si="0"/>
        <v>1686.9222599999998</v>
      </c>
      <c r="Y15" s="43">
        <f t="shared" si="0"/>
        <v>506.46344999999997</v>
      </c>
      <c r="Z15" s="51">
        <v>1</v>
      </c>
      <c r="AA15" s="27">
        <f>SUM(AA5:AA13)</f>
        <v>2</v>
      </c>
      <c r="AB15" s="27">
        <f>SUM(AB5:AB13)</f>
        <v>15816</v>
      </c>
      <c r="AC15" s="27">
        <f>SUM(AC5:AC13)</f>
        <v>336</v>
      </c>
      <c r="AD15" s="27">
        <f>SUM(AD5:AD13)</f>
        <v>1</v>
      </c>
      <c r="AE15" s="51">
        <v>1</v>
      </c>
      <c r="AF15" s="43">
        <f t="shared" ref="AF15:AO15" si="1">SUM(AF5:AF13)</f>
        <v>0</v>
      </c>
      <c r="AG15" s="27">
        <f t="shared" si="1"/>
        <v>2435.8000000000002</v>
      </c>
      <c r="AH15" s="27">
        <f t="shared" si="1"/>
        <v>591.54999999999995</v>
      </c>
      <c r="AI15" s="27">
        <f t="shared" si="1"/>
        <v>2330.46</v>
      </c>
      <c r="AJ15" s="51">
        <f t="shared" si="1"/>
        <v>0.99999999999999989</v>
      </c>
      <c r="AK15" s="43">
        <f t="shared" si="1"/>
        <v>12</v>
      </c>
      <c r="AL15" s="27">
        <f t="shared" si="1"/>
        <v>3222</v>
      </c>
      <c r="AM15" s="27">
        <f t="shared" si="1"/>
        <v>1805</v>
      </c>
      <c r="AN15" s="27">
        <f t="shared" si="1"/>
        <v>0</v>
      </c>
      <c r="AO15" s="51">
        <f t="shared" si="1"/>
        <v>1</v>
      </c>
      <c r="AP15" s="27">
        <v>86</v>
      </c>
      <c r="AQ15" s="43">
        <v>23578</v>
      </c>
      <c r="AR15" s="43">
        <v>3330</v>
      </c>
      <c r="AS15" s="43">
        <v>1709</v>
      </c>
      <c r="AT15" s="68">
        <v>1</v>
      </c>
      <c r="AU15" s="43">
        <f>SUM(AU5:AU14)</f>
        <v>84</v>
      </c>
      <c r="AV15" s="43">
        <f>SUM(AV5:AV14)</f>
        <v>15844</v>
      </c>
      <c r="AW15" s="43">
        <f>SUM(AW5:AW14)</f>
        <v>3528</v>
      </c>
      <c r="AX15" s="43">
        <f>SUM(AX5:AX14)</f>
        <v>1785</v>
      </c>
      <c r="AY15" s="51">
        <f>SUM(AY5:AY14)</f>
        <v>0.99990000000000001</v>
      </c>
      <c r="AZ15" s="43">
        <f t="shared" ref="AZ15:BZ15" si="2">SUM(AZ5:AZ13)</f>
        <v>75</v>
      </c>
      <c r="BA15" s="43">
        <f t="shared" si="2"/>
        <v>22706</v>
      </c>
      <c r="BB15" s="43">
        <f t="shared" si="2"/>
        <v>73</v>
      </c>
      <c r="BC15" s="43">
        <f t="shared" si="2"/>
        <v>4298</v>
      </c>
      <c r="BD15" s="51">
        <f t="shared" si="2"/>
        <v>1</v>
      </c>
      <c r="BE15" s="43">
        <f t="shared" si="2"/>
        <v>143</v>
      </c>
      <c r="BF15" s="43">
        <f t="shared" si="2"/>
        <v>100020</v>
      </c>
      <c r="BG15" s="43">
        <f t="shared" si="2"/>
        <v>4220</v>
      </c>
      <c r="BH15" s="27">
        <f t="shared" si="2"/>
        <v>9835</v>
      </c>
      <c r="BI15" s="68">
        <f t="shared" si="2"/>
        <v>0.99999999999999989</v>
      </c>
      <c r="BJ15" s="43">
        <f t="shared" si="2"/>
        <v>221</v>
      </c>
      <c r="BK15" s="43">
        <f t="shared" si="2"/>
        <v>97773</v>
      </c>
      <c r="BL15" s="43">
        <f t="shared" si="2"/>
        <v>7526</v>
      </c>
      <c r="BM15" s="43">
        <f t="shared" si="2"/>
        <v>27616</v>
      </c>
      <c r="BN15" s="51">
        <f t="shared" si="2"/>
        <v>0.99999999999999989</v>
      </c>
      <c r="BO15" s="27">
        <f t="shared" si="2"/>
        <v>163</v>
      </c>
      <c r="BP15" s="43">
        <f t="shared" si="2"/>
        <v>45699</v>
      </c>
      <c r="BQ15" s="43">
        <f t="shared" si="2"/>
        <v>1591</v>
      </c>
      <c r="BR15" s="43">
        <f t="shared" si="2"/>
        <v>11886</v>
      </c>
      <c r="BS15" s="68">
        <f t="shared" si="2"/>
        <v>1</v>
      </c>
      <c r="BT15" s="43">
        <f t="shared" si="2"/>
        <v>6</v>
      </c>
      <c r="BU15" s="43">
        <f t="shared" si="2"/>
        <v>2564</v>
      </c>
      <c r="BV15" s="43">
        <f t="shared" si="2"/>
        <v>189</v>
      </c>
      <c r="BW15" s="43">
        <f t="shared" si="2"/>
        <v>2</v>
      </c>
      <c r="BX15" s="51">
        <f t="shared" si="2"/>
        <v>0.99999999999999989</v>
      </c>
      <c r="BY15" s="27">
        <f t="shared" si="2"/>
        <v>21</v>
      </c>
      <c r="BZ15" s="43">
        <f t="shared" si="2"/>
        <v>3</v>
      </c>
      <c r="CA15" s="43">
        <f t="shared" ref="CA15:DF15" si="3">SUM(CA5:CA13)</f>
        <v>1625</v>
      </c>
      <c r="CB15" s="43">
        <f t="shared" si="3"/>
        <v>0</v>
      </c>
      <c r="CC15" s="68">
        <f t="shared" si="3"/>
        <v>1</v>
      </c>
      <c r="CD15" s="43">
        <f t="shared" si="3"/>
        <v>37</v>
      </c>
      <c r="CE15" s="43">
        <f t="shared" si="3"/>
        <v>13860</v>
      </c>
      <c r="CF15" s="43">
        <f t="shared" si="3"/>
        <v>284</v>
      </c>
      <c r="CG15" s="43">
        <f t="shared" si="3"/>
        <v>102</v>
      </c>
      <c r="CH15" s="68">
        <f t="shared" si="3"/>
        <v>1</v>
      </c>
      <c r="CI15" s="27">
        <f t="shared" si="3"/>
        <v>2</v>
      </c>
      <c r="CJ15" s="27">
        <f t="shared" si="3"/>
        <v>1080.5</v>
      </c>
      <c r="CK15" s="27">
        <f t="shared" si="3"/>
        <v>26.880000000000003</v>
      </c>
      <c r="CL15" s="27">
        <f t="shared" si="3"/>
        <v>8.9600000000000009</v>
      </c>
      <c r="CM15" s="78">
        <f t="shared" si="3"/>
        <v>1</v>
      </c>
      <c r="CN15" s="43">
        <f t="shared" si="3"/>
        <v>0</v>
      </c>
      <c r="CO15" s="43">
        <f t="shared" si="3"/>
        <v>22380.966960000002</v>
      </c>
      <c r="CP15" s="43">
        <f t="shared" si="3"/>
        <v>7140.9315402000011</v>
      </c>
      <c r="CQ15" s="43">
        <f t="shared" si="3"/>
        <v>6980.0831235999995</v>
      </c>
      <c r="CR15" s="68">
        <f t="shared" si="3"/>
        <v>1.0001</v>
      </c>
      <c r="CS15" s="43">
        <f t="shared" si="3"/>
        <v>17</v>
      </c>
      <c r="CT15" s="27">
        <f t="shared" si="3"/>
        <v>38</v>
      </c>
      <c r="CU15" s="27">
        <f t="shared" si="3"/>
        <v>102</v>
      </c>
      <c r="CV15" s="27">
        <f t="shared" si="3"/>
        <v>0</v>
      </c>
      <c r="CW15" s="51">
        <f t="shared" si="3"/>
        <v>0.99990000000000001</v>
      </c>
      <c r="CX15" s="43">
        <f t="shared" si="3"/>
        <v>4</v>
      </c>
      <c r="CY15" s="27">
        <f t="shared" si="3"/>
        <v>13861</v>
      </c>
      <c r="CZ15" s="27">
        <f t="shared" si="3"/>
        <v>46</v>
      </c>
      <c r="DA15" s="27">
        <f t="shared" si="3"/>
        <v>0</v>
      </c>
      <c r="DB15" s="51">
        <f t="shared" si="3"/>
        <v>0.99</v>
      </c>
      <c r="DC15" s="27">
        <f t="shared" si="3"/>
        <v>4</v>
      </c>
      <c r="DD15" s="43">
        <f t="shared" si="3"/>
        <v>1418</v>
      </c>
      <c r="DE15" s="43">
        <f t="shared" si="3"/>
        <v>549</v>
      </c>
      <c r="DF15" s="43">
        <f t="shared" si="3"/>
        <v>17</v>
      </c>
      <c r="DG15" s="68">
        <f t="shared" ref="DG15:EL15" si="4">SUM(DG5:DG13)</f>
        <v>1</v>
      </c>
      <c r="DH15" s="43">
        <f t="shared" si="4"/>
        <v>182</v>
      </c>
      <c r="DI15" s="43">
        <f t="shared" si="4"/>
        <v>80783</v>
      </c>
      <c r="DJ15" s="43">
        <f t="shared" si="4"/>
        <v>4165</v>
      </c>
      <c r="DK15" s="43">
        <f t="shared" si="4"/>
        <v>12897</v>
      </c>
      <c r="DL15" s="51">
        <f>SUM(DL5:DL14)</f>
        <v>1.0001</v>
      </c>
      <c r="DM15" s="43">
        <f t="shared" si="4"/>
        <v>75</v>
      </c>
      <c r="DN15" s="27">
        <f t="shared" si="4"/>
        <v>20828.29</v>
      </c>
      <c r="DO15" s="27">
        <f t="shared" si="4"/>
        <v>1396.22</v>
      </c>
      <c r="DP15" s="27">
        <f t="shared" si="4"/>
        <v>852.93999999999994</v>
      </c>
      <c r="DQ15" s="51">
        <f t="shared" si="4"/>
        <v>1</v>
      </c>
      <c r="DR15" s="43">
        <f t="shared" si="4"/>
        <v>0</v>
      </c>
      <c r="DS15" s="27">
        <f t="shared" si="4"/>
        <v>0</v>
      </c>
      <c r="DT15" s="27">
        <f t="shared" si="4"/>
        <v>0</v>
      </c>
      <c r="DU15" s="27">
        <f t="shared" si="4"/>
        <v>0</v>
      </c>
      <c r="DV15" s="51">
        <f t="shared" si="4"/>
        <v>0</v>
      </c>
      <c r="DW15" s="43">
        <f t="shared" si="4"/>
        <v>29</v>
      </c>
      <c r="DX15" s="27">
        <f t="shared" si="4"/>
        <v>2504.1</v>
      </c>
      <c r="DY15" s="27">
        <f t="shared" si="4"/>
        <v>343.17</v>
      </c>
      <c r="DZ15" s="27">
        <f t="shared" si="4"/>
        <v>94.4</v>
      </c>
      <c r="EA15" s="51">
        <f t="shared" si="4"/>
        <v>0.98439999999999994</v>
      </c>
      <c r="EB15" s="43">
        <f t="shared" si="4"/>
        <v>4</v>
      </c>
      <c r="EC15" s="27">
        <f t="shared" si="4"/>
        <v>13444</v>
      </c>
      <c r="ED15" s="27">
        <f t="shared" si="4"/>
        <v>105</v>
      </c>
      <c r="EE15" s="27">
        <f t="shared" si="4"/>
        <v>0</v>
      </c>
      <c r="EF15" s="51">
        <f t="shared" si="4"/>
        <v>1</v>
      </c>
      <c r="EG15" s="43">
        <f>SUM(EG5:EG14)</f>
        <v>122</v>
      </c>
      <c r="EH15" s="27">
        <f>SUM(EH5:EH14)</f>
        <v>66405</v>
      </c>
      <c r="EI15" s="27">
        <f>SUM(EI5:EI14)</f>
        <v>3600</v>
      </c>
      <c r="EJ15" s="27">
        <f>SUM(EJ5:EJ14)</f>
        <v>11040</v>
      </c>
      <c r="EK15" s="51">
        <f>SUM(EK5:EK14)</f>
        <v>1.0000000000000002</v>
      </c>
      <c r="EL15" s="27">
        <f t="shared" si="4"/>
        <v>0</v>
      </c>
      <c r="EM15" s="27">
        <f t="shared" ref="EM15:EZ15" si="5">SUM(EM5:EM13)</f>
        <v>0</v>
      </c>
      <c r="EN15" s="27">
        <f t="shared" si="5"/>
        <v>0</v>
      </c>
      <c r="EO15" s="27">
        <f t="shared" si="5"/>
        <v>0</v>
      </c>
      <c r="EP15" s="51">
        <f t="shared" si="5"/>
        <v>0</v>
      </c>
      <c r="EQ15" s="43">
        <f>SUM(EQ5:EQ14)</f>
        <v>0</v>
      </c>
      <c r="ER15" s="27">
        <f t="shared" si="5"/>
        <v>41029</v>
      </c>
      <c r="ES15" s="27">
        <f t="shared" si="5"/>
        <v>6796</v>
      </c>
      <c r="ET15" s="27">
        <f t="shared" si="5"/>
        <v>16079</v>
      </c>
      <c r="EU15" s="68">
        <f>SUM(EU5:EU14)</f>
        <v>1</v>
      </c>
      <c r="EV15" s="43">
        <f>SUM(EV5:EV14)</f>
        <v>177</v>
      </c>
      <c r="EW15" s="43">
        <f t="shared" ref="EW15:EY15" si="6">SUM(EW5:EW14)</f>
        <v>45215</v>
      </c>
      <c r="EX15" s="43">
        <f t="shared" si="6"/>
        <v>12354</v>
      </c>
      <c r="EY15" s="43">
        <f t="shared" si="6"/>
        <v>14028</v>
      </c>
      <c r="EZ15" s="78">
        <f t="shared" si="5"/>
        <v>1.0001</v>
      </c>
      <c r="FA15" s="43">
        <f>SUM(FA5:FA14)</f>
        <v>102</v>
      </c>
      <c r="FB15" s="27">
        <f t="shared" ref="FB15:FE15" si="7">SUM(FB5:FB14)</f>
        <v>8627</v>
      </c>
      <c r="FC15" s="27">
        <f t="shared" si="7"/>
        <v>569</v>
      </c>
      <c r="FD15" s="27">
        <f t="shared" si="7"/>
        <v>10323</v>
      </c>
      <c r="FE15" s="51">
        <f t="shared" si="7"/>
        <v>0.9998999999999999</v>
      </c>
    </row>
  </sheetData>
  <mergeCells count="129">
    <mergeCell ref="A3:A4"/>
    <mergeCell ref="EW3:EY3"/>
    <mergeCell ref="EZ3:EZ4"/>
    <mergeCell ref="FA3:FA4"/>
    <mergeCell ref="FB3:FD3"/>
    <mergeCell ref="FE3:FE4"/>
    <mergeCell ref="EM3:EO3"/>
    <mergeCell ref="EP3:EP4"/>
    <mergeCell ref="EQ3:EQ4"/>
    <mergeCell ref="ER3:ET3"/>
    <mergeCell ref="EU3:EU4"/>
    <mergeCell ref="EV3:EV4"/>
    <mergeCell ref="DX3:DZ3"/>
    <mergeCell ref="EA3:EA4"/>
    <mergeCell ref="EG3:EG4"/>
    <mergeCell ref="EH3:EJ3"/>
    <mergeCell ref="EK3:EK4"/>
    <mergeCell ref="EL3:EL4"/>
    <mergeCell ref="DN3:DP3"/>
    <mergeCell ref="DQ3:DQ4"/>
    <mergeCell ref="DR3:DR4"/>
    <mergeCell ref="DS3:DU3"/>
    <mergeCell ref="DV3:DV4"/>
    <mergeCell ref="DW3:DW4"/>
    <mergeCell ref="EB3:EB4"/>
    <mergeCell ref="EC3:EE3"/>
    <mergeCell ref="EF3:EF4"/>
    <mergeCell ref="DD3:DF3"/>
    <mergeCell ref="DG3:DG4"/>
    <mergeCell ref="DH3:DH4"/>
    <mergeCell ref="DI3:DK3"/>
    <mergeCell ref="DL3:DL4"/>
    <mergeCell ref="DM3:DM4"/>
    <mergeCell ref="CT3:CV3"/>
    <mergeCell ref="CW3:CW4"/>
    <mergeCell ref="CX3:CX4"/>
    <mergeCell ref="CY3:DA3"/>
    <mergeCell ref="DB3:DB4"/>
    <mergeCell ref="DC3:DC4"/>
    <mergeCell ref="CJ3:CL3"/>
    <mergeCell ref="CM3:CM4"/>
    <mergeCell ref="CN3:CN4"/>
    <mergeCell ref="CO3:CQ3"/>
    <mergeCell ref="CR3:CR4"/>
    <mergeCell ref="CS3:CS4"/>
    <mergeCell ref="BZ3:CB3"/>
    <mergeCell ref="CC3:CC4"/>
    <mergeCell ref="CD3:CD4"/>
    <mergeCell ref="CE3:CG3"/>
    <mergeCell ref="CH3:CH4"/>
    <mergeCell ref="CI3:CI4"/>
    <mergeCell ref="BP3:BR3"/>
    <mergeCell ref="BS3:BS4"/>
    <mergeCell ref="BT3:BT4"/>
    <mergeCell ref="BU3:BW3"/>
    <mergeCell ref="BX3:BX4"/>
    <mergeCell ref="BY3:BY4"/>
    <mergeCell ref="BF3:BH3"/>
    <mergeCell ref="BI3:BI4"/>
    <mergeCell ref="BJ3:BJ4"/>
    <mergeCell ref="BK3:BM3"/>
    <mergeCell ref="BN3:BN4"/>
    <mergeCell ref="BO3:BO4"/>
    <mergeCell ref="AY3:AY4"/>
    <mergeCell ref="BE3:BE4"/>
    <mergeCell ref="AG3:AI3"/>
    <mergeCell ref="AJ3:AJ4"/>
    <mergeCell ref="AK3:AK4"/>
    <mergeCell ref="AL3:AN3"/>
    <mergeCell ref="AO3:AO4"/>
    <mergeCell ref="AP3:AP4"/>
    <mergeCell ref="AZ3:AZ4"/>
    <mergeCell ref="BA3:BC3"/>
    <mergeCell ref="BD3:BD4"/>
    <mergeCell ref="P3:P4"/>
    <mergeCell ref="Q3:Q4"/>
    <mergeCell ref="R3:T3"/>
    <mergeCell ref="U3:U4"/>
    <mergeCell ref="V3:V4"/>
    <mergeCell ref="AQ3:AS3"/>
    <mergeCell ref="AT3:AT4"/>
    <mergeCell ref="AU3:AU4"/>
    <mergeCell ref="AV3:AX3"/>
    <mergeCell ref="B3:B4"/>
    <mergeCell ref="C3:E3"/>
    <mergeCell ref="F3:F4"/>
    <mergeCell ref="G3:G4"/>
    <mergeCell ref="H3:J3"/>
    <mergeCell ref="K3:K4"/>
    <mergeCell ref="L3:L4"/>
    <mergeCell ref="DW2:EA2"/>
    <mergeCell ref="EG2:EK2"/>
    <mergeCell ref="CS2:CW2"/>
    <mergeCell ref="CX2:DB2"/>
    <mergeCell ref="DC2:DG2"/>
    <mergeCell ref="DH2:DL2"/>
    <mergeCell ref="DM2:DQ2"/>
    <mergeCell ref="DR2:DV2"/>
    <mergeCell ref="BO2:BS2"/>
    <mergeCell ref="BT2:BX2"/>
    <mergeCell ref="W3:Y3"/>
    <mergeCell ref="Z3:Z4"/>
    <mergeCell ref="AA3:AA4"/>
    <mergeCell ref="AB3:AD3"/>
    <mergeCell ref="AE3:AE4"/>
    <mergeCell ref="AF3:AF4"/>
    <mergeCell ref="M3:O3"/>
    <mergeCell ref="EQ2:EU2"/>
    <mergeCell ref="EV2:EZ2"/>
    <mergeCell ref="FA2:FE2"/>
    <mergeCell ref="B2:F2"/>
    <mergeCell ref="G2:K2"/>
    <mergeCell ref="L2:P2"/>
    <mergeCell ref="Q2:U2"/>
    <mergeCell ref="V2:Z2"/>
    <mergeCell ref="AA2:AE2"/>
    <mergeCell ref="BY2:CC2"/>
    <mergeCell ref="CD2:CH2"/>
    <mergeCell ref="CI2:CM2"/>
    <mergeCell ref="AZ2:BD2"/>
    <mergeCell ref="CN2:CR2"/>
    <mergeCell ref="AF2:AJ2"/>
    <mergeCell ref="AK2:AO2"/>
    <mergeCell ref="AP2:AT2"/>
    <mergeCell ref="AU2:AY2"/>
    <mergeCell ref="BE2:BI2"/>
    <mergeCell ref="BJ2:BN2"/>
    <mergeCell ref="EB2:EF2"/>
    <mergeCell ref="EL2:EP2"/>
  </mergeCells>
  <pageMargins left="0.7" right="0.7" top="0.75" bottom="0.75" header="0.3" footer="0.3"/>
  <pageSetup paperSize="9" orientation="portrait" horizontalDpi="300" verticalDpi="300" r:id="rId1"/>
  <ignoredErrors>
    <ignoredError sqref="DL15 EZ15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7" customWidth="1"/>
    <col min="2" max="97" width="10.85546875" style="7" customWidth="1"/>
    <col min="98" max="16384" width="9.140625" style="7"/>
  </cols>
  <sheetData>
    <row r="1" spans="1:97" ht="18.75" x14ac:dyDescent="0.3">
      <c r="A1" s="9" t="s">
        <v>205</v>
      </c>
    </row>
    <row r="2" spans="1:97" x14ac:dyDescent="0.25">
      <c r="A2" s="7" t="s">
        <v>168</v>
      </c>
    </row>
    <row r="3" spans="1:97" x14ac:dyDescent="0.25">
      <c r="A3" s="1" t="s">
        <v>0</v>
      </c>
      <c r="B3" s="104" t="s">
        <v>1</v>
      </c>
      <c r="C3" s="104"/>
      <c r="D3" s="104"/>
      <c r="E3" s="104" t="s">
        <v>290</v>
      </c>
      <c r="F3" s="104"/>
      <c r="G3" s="104"/>
      <c r="H3" s="104" t="s">
        <v>3</v>
      </c>
      <c r="I3" s="104"/>
      <c r="J3" s="104"/>
      <c r="K3" s="104" t="s">
        <v>4</v>
      </c>
      <c r="L3" s="104"/>
      <c r="M3" s="104"/>
      <c r="N3" s="104" t="s">
        <v>5</v>
      </c>
      <c r="O3" s="104"/>
      <c r="P3" s="104"/>
      <c r="Q3" s="104" t="s">
        <v>291</v>
      </c>
      <c r="R3" s="104"/>
      <c r="S3" s="104"/>
      <c r="T3" s="105" t="s">
        <v>292</v>
      </c>
      <c r="U3" s="106"/>
      <c r="V3" s="107"/>
      <c r="W3" s="105" t="s">
        <v>8</v>
      </c>
      <c r="X3" s="106"/>
      <c r="Y3" s="107"/>
      <c r="Z3" s="105" t="s">
        <v>7</v>
      </c>
      <c r="AA3" s="106"/>
      <c r="AB3" s="107"/>
      <c r="AC3" s="105" t="s">
        <v>9</v>
      </c>
      <c r="AD3" s="106"/>
      <c r="AE3" s="107"/>
      <c r="AF3" s="105" t="s">
        <v>288</v>
      </c>
      <c r="AG3" s="106"/>
      <c r="AH3" s="107"/>
      <c r="AI3" s="105" t="s">
        <v>11</v>
      </c>
      <c r="AJ3" s="106"/>
      <c r="AK3" s="107"/>
      <c r="AL3" s="105" t="s">
        <v>12</v>
      </c>
      <c r="AM3" s="106"/>
      <c r="AN3" s="107"/>
      <c r="AO3" s="105" t="s">
        <v>13</v>
      </c>
      <c r="AP3" s="106"/>
      <c r="AQ3" s="107"/>
      <c r="AR3" s="105" t="s">
        <v>14</v>
      </c>
      <c r="AS3" s="106"/>
      <c r="AT3" s="107"/>
      <c r="AU3" s="105" t="s">
        <v>15</v>
      </c>
      <c r="AV3" s="106"/>
      <c r="AW3" s="107"/>
      <c r="AX3" s="105" t="s">
        <v>16</v>
      </c>
      <c r="AY3" s="106"/>
      <c r="AZ3" s="107"/>
      <c r="BA3" s="105" t="s">
        <v>293</v>
      </c>
      <c r="BB3" s="106"/>
      <c r="BC3" s="107"/>
      <c r="BD3" s="105" t="s">
        <v>17</v>
      </c>
      <c r="BE3" s="106"/>
      <c r="BF3" s="107"/>
      <c r="BG3" s="105" t="s">
        <v>294</v>
      </c>
      <c r="BH3" s="106"/>
      <c r="BI3" s="107"/>
      <c r="BJ3" s="105" t="s">
        <v>313</v>
      </c>
      <c r="BK3" s="106"/>
      <c r="BL3" s="107"/>
      <c r="BM3" s="105" t="s">
        <v>289</v>
      </c>
      <c r="BN3" s="106"/>
      <c r="BO3" s="107"/>
      <c r="BP3" s="105" t="s">
        <v>295</v>
      </c>
      <c r="BQ3" s="106"/>
      <c r="BR3" s="107"/>
      <c r="BS3" s="104" t="s">
        <v>20</v>
      </c>
      <c r="BT3" s="104"/>
      <c r="BU3" s="104"/>
      <c r="BV3" s="104" t="s">
        <v>21</v>
      </c>
      <c r="BW3" s="104"/>
      <c r="BX3" s="104"/>
      <c r="BY3" s="104" t="s">
        <v>22</v>
      </c>
      <c r="BZ3" s="104"/>
      <c r="CA3" s="104"/>
      <c r="CB3" s="104" t="s">
        <v>23</v>
      </c>
      <c r="CC3" s="104"/>
      <c r="CD3" s="104"/>
      <c r="CE3" s="104" t="s">
        <v>24</v>
      </c>
      <c r="CF3" s="104"/>
      <c r="CG3" s="104"/>
      <c r="CH3" s="104" t="s">
        <v>296</v>
      </c>
      <c r="CI3" s="104"/>
      <c r="CJ3" s="104"/>
      <c r="CK3" s="104" t="s">
        <v>297</v>
      </c>
      <c r="CL3" s="104"/>
      <c r="CM3" s="104"/>
      <c r="CN3" s="104" t="s">
        <v>25</v>
      </c>
      <c r="CO3" s="104"/>
      <c r="CP3" s="104"/>
      <c r="CQ3" s="104" t="s">
        <v>26</v>
      </c>
      <c r="CR3" s="104"/>
      <c r="CS3" s="104"/>
    </row>
    <row r="4" spans="1:97" x14ac:dyDescent="0.25">
      <c r="A4" s="10"/>
      <c r="B4" s="40" t="s">
        <v>155</v>
      </c>
      <c r="C4" s="40" t="s">
        <v>156</v>
      </c>
      <c r="D4" s="40" t="s">
        <v>157</v>
      </c>
      <c r="E4" s="40" t="s">
        <v>155</v>
      </c>
      <c r="F4" s="40" t="s">
        <v>156</v>
      </c>
      <c r="G4" s="40" t="s">
        <v>157</v>
      </c>
      <c r="H4" s="40" t="s">
        <v>155</v>
      </c>
      <c r="I4" s="40" t="s">
        <v>156</v>
      </c>
      <c r="J4" s="40" t="s">
        <v>157</v>
      </c>
      <c r="K4" s="40" t="s">
        <v>155</v>
      </c>
      <c r="L4" s="40" t="s">
        <v>156</v>
      </c>
      <c r="M4" s="40" t="s">
        <v>157</v>
      </c>
      <c r="N4" s="40" t="s">
        <v>155</v>
      </c>
      <c r="O4" s="40" t="s">
        <v>156</v>
      </c>
      <c r="P4" s="40" t="s">
        <v>157</v>
      </c>
      <c r="Q4" s="40" t="s">
        <v>155</v>
      </c>
      <c r="R4" s="40" t="s">
        <v>156</v>
      </c>
      <c r="S4" s="40" t="s">
        <v>157</v>
      </c>
      <c r="T4" s="40" t="s">
        <v>155</v>
      </c>
      <c r="U4" s="40" t="s">
        <v>156</v>
      </c>
      <c r="V4" s="40" t="s">
        <v>157</v>
      </c>
      <c r="W4" s="40" t="s">
        <v>155</v>
      </c>
      <c r="X4" s="40" t="s">
        <v>156</v>
      </c>
      <c r="Y4" s="40" t="s">
        <v>157</v>
      </c>
      <c r="Z4" s="40" t="s">
        <v>155</v>
      </c>
      <c r="AA4" s="40" t="s">
        <v>156</v>
      </c>
      <c r="AB4" s="40" t="s">
        <v>157</v>
      </c>
      <c r="AC4" s="40" t="s">
        <v>155</v>
      </c>
      <c r="AD4" s="40" t="s">
        <v>156</v>
      </c>
      <c r="AE4" s="40" t="s">
        <v>157</v>
      </c>
      <c r="AF4" s="40" t="s">
        <v>155</v>
      </c>
      <c r="AG4" s="40" t="s">
        <v>156</v>
      </c>
      <c r="AH4" s="40" t="s">
        <v>157</v>
      </c>
      <c r="AI4" s="40" t="s">
        <v>155</v>
      </c>
      <c r="AJ4" s="40" t="s">
        <v>156</v>
      </c>
      <c r="AK4" s="40" t="s">
        <v>157</v>
      </c>
      <c r="AL4" s="40" t="s">
        <v>155</v>
      </c>
      <c r="AM4" s="40" t="s">
        <v>156</v>
      </c>
      <c r="AN4" s="40" t="s">
        <v>157</v>
      </c>
      <c r="AO4" s="40" t="s">
        <v>155</v>
      </c>
      <c r="AP4" s="40" t="s">
        <v>156</v>
      </c>
      <c r="AQ4" s="40" t="s">
        <v>157</v>
      </c>
      <c r="AR4" s="40" t="s">
        <v>155</v>
      </c>
      <c r="AS4" s="40" t="s">
        <v>156</v>
      </c>
      <c r="AT4" s="40" t="s">
        <v>157</v>
      </c>
      <c r="AU4" s="40" t="s">
        <v>155</v>
      </c>
      <c r="AV4" s="40" t="s">
        <v>156</v>
      </c>
      <c r="AW4" s="40" t="s">
        <v>157</v>
      </c>
      <c r="AX4" s="40" t="s">
        <v>155</v>
      </c>
      <c r="AY4" s="40" t="s">
        <v>156</v>
      </c>
      <c r="AZ4" s="40" t="s">
        <v>157</v>
      </c>
      <c r="BA4" s="40" t="s">
        <v>155</v>
      </c>
      <c r="BB4" s="40" t="s">
        <v>156</v>
      </c>
      <c r="BC4" s="40" t="s">
        <v>157</v>
      </c>
      <c r="BD4" s="40" t="s">
        <v>155</v>
      </c>
      <c r="BE4" s="40" t="s">
        <v>156</v>
      </c>
      <c r="BF4" s="40" t="s">
        <v>157</v>
      </c>
      <c r="BG4" s="40" t="s">
        <v>155</v>
      </c>
      <c r="BH4" s="40" t="s">
        <v>156</v>
      </c>
      <c r="BI4" s="40" t="s">
        <v>157</v>
      </c>
      <c r="BJ4" s="40" t="s">
        <v>155</v>
      </c>
      <c r="BK4" s="40" t="s">
        <v>156</v>
      </c>
      <c r="BL4" s="40" t="s">
        <v>157</v>
      </c>
      <c r="BM4" s="40" t="s">
        <v>155</v>
      </c>
      <c r="BN4" s="40" t="s">
        <v>156</v>
      </c>
      <c r="BO4" s="40" t="s">
        <v>157</v>
      </c>
      <c r="BP4" s="40" t="s">
        <v>155</v>
      </c>
      <c r="BQ4" s="40" t="s">
        <v>156</v>
      </c>
      <c r="BR4" s="40" t="s">
        <v>157</v>
      </c>
      <c r="BS4" s="40" t="s">
        <v>155</v>
      </c>
      <c r="BT4" s="40" t="s">
        <v>156</v>
      </c>
      <c r="BU4" s="40" t="s">
        <v>157</v>
      </c>
      <c r="BV4" s="40" t="s">
        <v>155</v>
      </c>
      <c r="BW4" s="40" t="s">
        <v>156</v>
      </c>
      <c r="BX4" s="40" t="s">
        <v>157</v>
      </c>
      <c r="BY4" s="40" t="s">
        <v>155</v>
      </c>
      <c r="BZ4" s="40" t="s">
        <v>156</v>
      </c>
      <c r="CA4" s="40" t="s">
        <v>157</v>
      </c>
      <c r="CB4" s="40" t="s">
        <v>155</v>
      </c>
      <c r="CC4" s="40" t="s">
        <v>156</v>
      </c>
      <c r="CD4" s="40" t="s">
        <v>157</v>
      </c>
      <c r="CE4" s="40" t="s">
        <v>155</v>
      </c>
      <c r="CF4" s="40" t="s">
        <v>156</v>
      </c>
      <c r="CG4" s="40" t="s">
        <v>157</v>
      </c>
      <c r="CH4" s="40" t="s">
        <v>155</v>
      </c>
      <c r="CI4" s="40" t="s">
        <v>156</v>
      </c>
      <c r="CJ4" s="40" t="s">
        <v>157</v>
      </c>
      <c r="CK4" s="40" t="s">
        <v>155</v>
      </c>
      <c r="CL4" s="40" t="s">
        <v>156</v>
      </c>
      <c r="CM4" s="40" t="s">
        <v>157</v>
      </c>
      <c r="CN4" s="40" t="s">
        <v>155</v>
      </c>
      <c r="CO4" s="40" t="s">
        <v>156</v>
      </c>
      <c r="CP4" s="40" t="s">
        <v>157</v>
      </c>
      <c r="CQ4" s="40" t="s">
        <v>155</v>
      </c>
      <c r="CR4" s="40" t="s">
        <v>156</v>
      </c>
      <c r="CS4" s="40" t="s">
        <v>157</v>
      </c>
    </row>
    <row r="5" spans="1:97" x14ac:dyDescent="0.25">
      <c r="A5" s="10" t="s">
        <v>158</v>
      </c>
      <c r="B5" s="10">
        <v>456</v>
      </c>
      <c r="C5" s="10">
        <f>D5-B5</f>
        <v>4790</v>
      </c>
      <c r="D5" s="10">
        <v>5246</v>
      </c>
      <c r="E5" s="10"/>
      <c r="F5" s="10">
        <f>G5-E5</f>
        <v>6682</v>
      </c>
      <c r="G5" s="10">
        <v>6682</v>
      </c>
      <c r="H5" s="10"/>
      <c r="I5" s="10">
        <f>J5-H5</f>
        <v>3490149</v>
      </c>
      <c r="J5" s="10">
        <v>3490149</v>
      </c>
      <c r="K5" s="10">
        <v>54323</v>
      </c>
      <c r="L5" s="10">
        <f>M5-K5</f>
        <v>275818</v>
      </c>
      <c r="M5" s="10">
        <v>330141</v>
      </c>
      <c r="N5" s="10">
        <v>11396</v>
      </c>
      <c r="O5" s="10">
        <f>P5-N5</f>
        <v>23871</v>
      </c>
      <c r="P5" s="10">
        <v>35267</v>
      </c>
      <c r="Q5" s="10"/>
      <c r="R5" s="10">
        <f>S5-Q5</f>
        <v>15097</v>
      </c>
      <c r="S5" s="10">
        <v>15097</v>
      </c>
      <c r="T5" s="10">
        <v>31270</v>
      </c>
      <c r="U5" s="10">
        <f>V5-T5</f>
        <v>36615</v>
      </c>
      <c r="V5" s="10">
        <v>67885</v>
      </c>
      <c r="W5" s="10"/>
      <c r="X5" s="10">
        <f>Y5-W5</f>
        <v>691</v>
      </c>
      <c r="Y5" s="10">
        <v>691</v>
      </c>
      <c r="Z5" s="10">
        <v>197</v>
      </c>
      <c r="AA5" s="10">
        <f>AB5-Z5</f>
        <v>1636</v>
      </c>
      <c r="AB5" s="10">
        <v>1833</v>
      </c>
      <c r="AC5" s="10">
        <v>8755</v>
      </c>
      <c r="AD5" s="10">
        <f>AE5-AC5</f>
        <v>19004</v>
      </c>
      <c r="AE5" s="10">
        <v>27759</v>
      </c>
      <c r="AF5" s="10">
        <v>4512</v>
      </c>
      <c r="AG5" s="10">
        <f>AH5-AF5</f>
        <v>6360</v>
      </c>
      <c r="AH5" s="10">
        <v>10872</v>
      </c>
      <c r="AI5" s="10">
        <v>35321</v>
      </c>
      <c r="AJ5" s="10">
        <f>AK5-AI5</f>
        <v>88408</v>
      </c>
      <c r="AK5" s="10">
        <v>123729</v>
      </c>
      <c r="AL5" s="10">
        <v>50866</v>
      </c>
      <c r="AM5" s="10">
        <f>AN5-AL5</f>
        <v>142480</v>
      </c>
      <c r="AN5" s="10">
        <v>193346</v>
      </c>
      <c r="AO5" s="10">
        <v>39559</v>
      </c>
      <c r="AP5" s="10">
        <f>AQ5-AO5</f>
        <v>29001</v>
      </c>
      <c r="AQ5" s="10">
        <v>68560</v>
      </c>
      <c r="AR5" s="10">
        <v>958</v>
      </c>
      <c r="AS5" s="10">
        <f>AT5-AR5</f>
        <v>3080</v>
      </c>
      <c r="AT5" s="10">
        <v>4038</v>
      </c>
      <c r="AU5" s="10">
        <v>6873</v>
      </c>
      <c r="AV5" s="10">
        <f>AW5-AU5</f>
        <v>7004</v>
      </c>
      <c r="AW5" s="10">
        <v>13877</v>
      </c>
      <c r="AX5" s="10">
        <v>7065</v>
      </c>
      <c r="AY5" s="10">
        <f>AZ5-AX5</f>
        <v>4695</v>
      </c>
      <c r="AZ5" s="10">
        <v>11760</v>
      </c>
      <c r="BA5" s="10"/>
      <c r="BB5" s="10">
        <f>BC5-BA5</f>
        <v>4630</v>
      </c>
      <c r="BC5" s="10">
        <v>4630</v>
      </c>
      <c r="BD5" s="123">
        <v>160439</v>
      </c>
      <c r="BE5" s="10">
        <f>BF5-BD5</f>
        <v>422921</v>
      </c>
      <c r="BF5" s="10">
        <v>583360</v>
      </c>
      <c r="BG5" s="10">
        <v>252</v>
      </c>
      <c r="BH5" s="10">
        <f>BI5-BG5</f>
        <v>671</v>
      </c>
      <c r="BI5" s="10">
        <v>923</v>
      </c>
      <c r="BJ5" s="10"/>
      <c r="BK5" s="10">
        <f>BL5-BJ5</f>
        <v>3602</v>
      </c>
      <c r="BL5" s="10">
        <v>3602</v>
      </c>
      <c r="BM5" s="10">
        <v>681</v>
      </c>
      <c r="BN5" s="10">
        <f>BO5-BM5</f>
        <v>2988</v>
      </c>
      <c r="BO5" s="10">
        <v>3669</v>
      </c>
      <c r="BP5" s="10">
        <v>57899</v>
      </c>
      <c r="BQ5" s="10">
        <f>BR5-BP5</f>
        <v>225794</v>
      </c>
      <c r="BR5" s="10">
        <v>283693</v>
      </c>
      <c r="BS5" s="10">
        <v>22673</v>
      </c>
      <c r="BT5" s="10">
        <f>BU5-BS5</f>
        <v>14748</v>
      </c>
      <c r="BU5" s="10">
        <v>37421</v>
      </c>
      <c r="BV5" s="10">
        <v>9373</v>
      </c>
      <c r="BW5" s="10">
        <f>BX5-BV5</f>
        <v>34212</v>
      </c>
      <c r="BX5" s="10">
        <v>43585</v>
      </c>
      <c r="BY5" s="10">
        <v>43185</v>
      </c>
      <c r="BZ5" s="10">
        <f>CA5-BY5</f>
        <v>10548</v>
      </c>
      <c r="CA5" s="10">
        <v>53733</v>
      </c>
      <c r="CB5" s="10"/>
      <c r="CC5" s="10">
        <f>CD5-CB5</f>
        <v>93504</v>
      </c>
      <c r="CD5" s="10">
        <v>93504</v>
      </c>
      <c r="CE5" s="10">
        <v>23538</v>
      </c>
      <c r="CF5" s="10">
        <f>CG5-CE5</f>
        <v>37347</v>
      </c>
      <c r="CG5" s="10">
        <v>60885</v>
      </c>
      <c r="CH5" s="10">
        <v>164044</v>
      </c>
      <c r="CI5" s="10">
        <f>CJ5-CH5</f>
        <v>209550</v>
      </c>
      <c r="CJ5" s="10">
        <v>373594</v>
      </c>
      <c r="CK5" s="124">
        <v>94467</v>
      </c>
      <c r="CL5" s="10">
        <f>CM5-CK5</f>
        <v>263179</v>
      </c>
      <c r="CM5" s="124">
        <v>357646</v>
      </c>
      <c r="CN5" s="124">
        <v>170689</v>
      </c>
      <c r="CO5" s="10">
        <f>CP5-CN5</f>
        <v>486129</v>
      </c>
      <c r="CP5" s="124">
        <v>656818</v>
      </c>
      <c r="CQ5" s="10">
        <v>9554</v>
      </c>
      <c r="CR5" s="10">
        <f>CS5-CQ5</f>
        <v>14920</v>
      </c>
      <c r="CS5" s="10">
        <v>24474</v>
      </c>
    </row>
    <row r="6" spans="1:97" x14ac:dyDescent="0.25">
      <c r="A6" s="10" t="s">
        <v>159</v>
      </c>
      <c r="B6" s="10">
        <v>118</v>
      </c>
      <c r="C6" s="10">
        <f t="shared" ref="C6:C14" si="0">D6-B6</f>
        <v>57892</v>
      </c>
      <c r="D6" s="10">
        <v>58010</v>
      </c>
      <c r="E6" s="10"/>
      <c r="F6" s="10">
        <f t="shared" ref="F6:F14" si="1">G6-E6</f>
        <v>53417</v>
      </c>
      <c r="G6" s="10">
        <v>53417</v>
      </c>
      <c r="H6" s="10"/>
      <c r="I6" s="10">
        <f t="shared" ref="I6:I14" si="2">J6-H6</f>
        <v>2152444</v>
      </c>
      <c r="J6" s="10">
        <v>2152444</v>
      </c>
      <c r="K6" s="10">
        <v>2505</v>
      </c>
      <c r="L6" s="10">
        <f t="shared" ref="L6:L14" si="3">M6-K6</f>
        <v>508447</v>
      </c>
      <c r="M6" s="10">
        <v>510952</v>
      </c>
      <c r="N6" s="10">
        <v>634</v>
      </c>
      <c r="O6" s="10">
        <f t="shared" ref="O6:O14" si="4">P6-N6</f>
        <v>59372</v>
      </c>
      <c r="P6" s="10">
        <v>60006</v>
      </c>
      <c r="Q6" s="10"/>
      <c r="R6" s="10">
        <f t="shared" ref="R6:R14" si="5">S6-Q6</f>
        <v>113302</v>
      </c>
      <c r="S6" s="10">
        <v>113302</v>
      </c>
      <c r="T6" s="10">
        <v>3058</v>
      </c>
      <c r="U6" s="10">
        <f t="shared" ref="U6:U7" si="6">V6-T6</f>
        <v>106177</v>
      </c>
      <c r="V6" s="10">
        <v>109235</v>
      </c>
      <c r="W6" s="10"/>
      <c r="X6" s="10">
        <f t="shared" ref="X6:X14" si="7">Y6-W6</f>
        <v>327</v>
      </c>
      <c r="Y6" s="10">
        <v>327</v>
      </c>
      <c r="Z6" s="10">
        <v>43</v>
      </c>
      <c r="AA6" s="10">
        <f t="shared" ref="AA6:AA14" si="8">AB6-Z6</f>
        <v>10795</v>
      </c>
      <c r="AB6" s="10">
        <v>10838</v>
      </c>
      <c r="AC6" s="10">
        <v>721</v>
      </c>
      <c r="AD6" s="10">
        <f t="shared" ref="AD6:AD14" si="9">AE6-AC6</f>
        <v>84508</v>
      </c>
      <c r="AE6" s="10">
        <v>85229</v>
      </c>
      <c r="AF6" s="10">
        <v>1149</v>
      </c>
      <c r="AG6" s="10">
        <f t="shared" ref="AG6:AG14" si="10">AH6-AF6</f>
        <v>52922</v>
      </c>
      <c r="AH6" s="10">
        <v>54071</v>
      </c>
      <c r="AI6" s="10">
        <v>1589</v>
      </c>
      <c r="AJ6" s="10">
        <f t="shared" ref="AJ6:AJ14" si="11">AK6-AI6</f>
        <v>1596317</v>
      </c>
      <c r="AK6" s="10">
        <v>1597906</v>
      </c>
      <c r="AL6" s="10">
        <v>3872</v>
      </c>
      <c r="AM6" s="10">
        <f t="shared" ref="AM6:AM14" si="12">AN6-AL6</f>
        <v>401710</v>
      </c>
      <c r="AN6" s="10">
        <v>405582</v>
      </c>
      <c r="AO6" s="10">
        <v>2703</v>
      </c>
      <c r="AP6" s="10">
        <f t="shared" ref="AP6:AP14" si="13">AQ6-AO6</f>
        <v>253043</v>
      </c>
      <c r="AQ6" s="10">
        <v>255746</v>
      </c>
      <c r="AR6" s="10">
        <v>58</v>
      </c>
      <c r="AS6" s="10">
        <f t="shared" ref="AS6:AS14" si="14">AT6-AR6</f>
        <v>17033</v>
      </c>
      <c r="AT6" s="10">
        <v>17091</v>
      </c>
      <c r="AU6" s="10">
        <v>698</v>
      </c>
      <c r="AV6" s="10">
        <f t="shared" ref="AV6:AV14" si="15">AW6-AU6</f>
        <v>43793</v>
      </c>
      <c r="AW6" s="10">
        <v>44491</v>
      </c>
      <c r="AX6" s="10">
        <v>866</v>
      </c>
      <c r="AY6" s="10">
        <f t="shared" ref="AY6:AY14" si="16">AZ6-AX6</f>
        <v>25480</v>
      </c>
      <c r="AZ6" s="10">
        <v>26346</v>
      </c>
      <c r="BA6" s="10"/>
      <c r="BB6" s="10">
        <f t="shared" ref="BB6:BB14" si="17">BC6-BA6</f>
        <v>73428</v>
      </c>
      <c r="BC6" s="10">
        <v>73428</v>
      </c>
      <c r="BD6" s="124">
        <v>8011</v>
      </c>
      <c r="BE6" s="10">
        <f t="shared" ref="BE6:BE14" si="18">BF6-BD6</f>
        <v>535528</v>
      </c>
      <c r="BF6" s="10">
        <v>543539</v>
      </c>
      <c r="BG6" s="10">
        <v>84</v>
      </c>
      <c r="BH6" s="10">
        <f t="shared" ref="BH6:BH14" si="19">BI6-BG6</f>
        <v>2357</v>
      </c>
      <c r="BI6" s="10">
        <v>2441</v>
      </c>
      <c r="BJ6" s="10"/>
      <c r="BK6" s="10">
        <f t="shared" ref="BK6:BK14" si="20">BL6-BJ6</f>
        <v>63443</v>
      </c>
      <c r="BL6" s="10">
        <v>63443</v>
      </c>
      <c r="BM6" s="10">
        <v>45</v>
      </c>
      <c r="BN6" s="10">
        <f t="shared" ref="BN6:BN14" si="21">BO6-BM6</f>
        <v>7798</v>
      </c>
      <c r="BO6" s="10">
        <v>7843</v>
      </c>
      <c r="BP6" s="10">
        <v>2348</v>
      </c>
      <c r="BQ6" s="10">
        <f t="shared" ref="BQ6:BQ14" si="22">BR6-BP6</f>
        <v>283023</v>
      </c>
      <c r="BR6" s="10">
        <v>285371</v>
      </c>
      <c r="BS6" s="10">
        <v>1441</v>
      </c>
      <c r="BT6" s="10">
        <f t="shared" ref="BT6:BT14" si="23">BU6-BS6</f>
        <v>100911</v>
      </c>
      <c r="BU6" s="10">
        <v>102352</v>
      </c>
      <c r="BV6" s="10">
        <v>1188</v>
      </c>
      <c r="BW6" s="10">
        <f t="shared" ref="BW6:BW14" si="24">BX6-BV6</f>
        <v>115504</v>
      </c>
      <c r="BX6" s="10">
        <v>116692</v>
      </c>
      <c r="BY6" s="10">
        <v>2978</v>
      </c>
      <c r="BZ6" s="10">
        <f t="shared" ref="BZ6:BZ14" si="25">CA6-BY6</f>
        <v>26056</v>
      </c>
      <c r="CA6" s="10">
        <v>29034</v>
      </c>
      <c r="CB6" s="10"/>
      <c r="CC6" s="10">
        <f t="shared" ref="CC6:CC14" si="26">CD6-CB6</f>
        <v>376770</v>
      </c>
      <c r="CD6" s="10">
        <v>376770</v>
      </c>
      <c r="CE6" s="10">
        <v>2586</v>
      </c>
      <c r="CF6" s="10">
        <f t="shared" ref="CF6:CF14" si="27">CG6-CE6</f>
        <v>265490</v>
      </c>
      <c r="CG6" s="10">
        <v>268076</v>
      </c>
      <c r="CH6" s="10">
        <v>9157</v>
      </c>
      <c r="CI6" s="10">
        <f t="shared" ref="CI6:CI14" si="28">CJ6-CH6</f>
        <v>1398736</v>
      </c>
      <c r="CJ6" s="10">
        <v>1407893</v>
      </c>
      <c r="CK6" s="124">
        <v>8735</v>
      </c>
      <c r="CL6" s="10">
        <f t="shared" ref="CL6:CL14" si="29">CM6-CK6</f>
        <v>433301</v>
      </c>
      <c r="CM6" s="124">
        <v>442036</v>
      </c>
      <c r="CN6" s="124">
        <v>8095</v>
      </c>
      <c r="CO6" s="10">
        <f t="shared" ref="CO6:CO14" si="30">CP6-CN6</f>
        <v>1068007</v>
      </c>
      <c r="CP6" s="124">
        <v>1076102</v>
      </c>
      <c r="CQ6" s="10">
        <v>482</v>
      </c>
      <c r="CR6" s="10">
        <f t="shared" ref="CR6:CR14" si="31">CS6-CQ6</f>
        <v>49919</v>
      </c>
      <c r="CS6" s="10">
        <v>50401</v>
      </c>
    </row>
    <row r="7" spans="1:97" x14ac:dyDescent="0.25">
      <c r="A7" s="10" t="s">
        <v>160</v>
      </c>
      <c r="B7" s="10">
        <v>28</v>
      </c>
      <c r="C7" s="10">
        <f t="shared" si="0"/>
        <v>39588</v>
      </c>
      <c r="D7" s="10">
        <v>39616</v>
      </c>
      <c r="E7" s="10"/>
      <c r="F7" s="10">
        <f t="shared" si="1"/>
        <v>43745</v>
      </c>
      <c r="G7" s="10">
        <v>43745</v>
      </c>
      <c r="H7" s="10"/>
      <c r="I7" s="10">
        <f t="shared" si="2"/>
        <v>3281053</v>
      </c>
      <c r="J7" s="10">
        <v>3281053</v>
      </c>
      <c r="K7" s="10">
        <v>1627</v>
      </c>
      <c r="L7" s="10">
        <f t="shared" si="3"/>
        <v>497602</v>
      </c>
      <c r="M7" s="10">
        <v>499229</v>
      </c>
      <c r="N7" s="10">
        <v>435</v>
      </c>
      <c r="O7" s="10">
        <f t="shared" si="4"/>
        <v>52339</v>
      </c>
      <c r="P7" s="10">
        <v>52774</v>
      </c>
      <c r="Q7" s="10"/>
      <c r="R7" s="10">
        <f t="shared" si="5"/>
        <v>91695</v>
      </c>
      <c r="S7" s="10">
        <v>91695</v>
      </c>
      <c r="T7" s="10">
        <v>1780</v>
      </c>
      <c r="U7" s="10">
        <f t="shared" si="6"/>
        <v>77394</v>
      </c>
      <c r="V7" s="10">
        <v>79174</v>
      </c>
      <c r="W7" s="10"/>
      <c r="X7" s="10">
        <f t="shared" si="7"/>
        <v>47</v>
      </c>
      <c r="Y7" s="10">
        <v>47</v>
      </c>
      <c r="Z7" s="10">
        <v>2</v>
      </c>
      <c r="AA7" s="10">
        <f t="shared" si="8"/>
        <v>8451</v>
      </c>
      <c r="AB7" s="10">
        <v>8453</v>
      </c>
      <c r="AC7" s="10">
        <v>377</v>
      </c>
      <c r="AD7" s="10">
        <f t="shared" si="9"/>
        <v>64331</v>
      </c>
      <c r="AE7" s="10">
        <v>64708</v>
      </c>
      <c r="AF7" s="10">
        <v>132</v>
      </c>
      <c r="AG7" s="10">
        <f t="shared" si="10"/>
        <v>40847</v>
      </c>
      <c r="AH7" s="10">
        <v>40979</v>
      </c>
      <c r="AI7" s="10">
        <v>498</v>
      </c>
      <c r="AJ7" s="10">
        <f t="shared" si="11"/>
        <v>1493711</v>
      </c>
      <c r="AK7" s="10">
        <v>1494209</v>
      </c>
      <c r="AL7" s="10">
        <v>1983</v>
      </c>
      <c r="AM7" s="10">
        <f t="shared" si="12"/>
        <v>312587</v>
      </c>
      <c r="AN7" s="10">
        <v>314570</v>
      </c>
      <c r="AO7" s="10">
        <v>1785</v>
      </c>
      <c r="AP7" s="10">
        <f t="shared" si="13"/>
        <v>246182</v>
      </c>
      <c r="AQ7" s="10">
        <v>247967</v>
      </c>
      <c r="AR7" s="10">
        <v>36</v>
      </c>
      <c r="AS7" s="10">
        <f t="shared" si="14"/>
        <v>11740</v>
      </c>
      <c r="AT7" s="10">
        <v>11776</v>
      </c>
      <c r="AU7" s="10">
        <v>213</v>
      </c>
      <c r="AV7" s="10">
        <f t="shared" si="15"/>
        <v>37452</v>
      </c>
      <c r="AW7" s="10">
        <v>37665</v>
      </c>
      <c r="AX7" s="10">
        <v>138</v>
      </c>
      <c r="AY7" s="10">
        <f t="shared" si="16"/>
        <v>14439</v>
      </c>
      <c r="AZ7" s="10">
        <v>14577</v>
      </c>
      <c r="BA7" s="10"/>
      <c r="BB7" s="10">
        <f t="shared" si="17"/>
        <v>63690</v>
      </c>
      <c r="BC7" s="10">
        <v>63690</v>
      </c>
      <c r="BD7" s="124">
        <v>5157</v>
      </c>
      <c r="BE7" s="10">
        <f t="shared" si="18"/>
        <v>427075</v>
      </c>
      <c r="BF7" s="10">
        <v>432232</v>
      </c>
      <c r="BG7" s="10">
        <v>1</v>
      </c>
      <c r="BH7" s="10">
        <f t="shared" si="19"/>
        <v>2060</v>
      </c>
      <c r="BI7" s="10">
        <v>2061</v>
      </c>
      <c r="BJ7" s="10"/>
      <c r="BK7" s="10">
        <f t="shared" si="20"/>
        <v>49449</v>
      </c>
      <c r="BL7" s="10">
        <v>49449</v>
      </c>
      <c r="BM7" s="10">
        <v>19</v>
      </c>
      <c r="BN7" s="10">
        <f t="shared" si="21"/>
        <v>6108</v>
      </c>
      <c r="BO7" s="10">
        <v>6127</v>
      </c>
      <c r="BP7" s="10">
        <v>1247</v>
      </c>
      <c r="BQ7" s="10">
        <f t="shared" si="22"/>
        <v>255997</v>
      </c>
      <c r="BR7" s="10">
        <v>257244</v>
      </c>
      <c r="BS7" s="10">
        <v>483</v>
      </c>
      <c r="BT7" s="10">
        <f t="shared" si="23"/>
        <v>90916</v>
      </c>
      <c r="BU7" s="10">
        <v>91399</v>
      </c>
      <c r="BV7" s="10">
        <v>730</v>
      </c>
      <c r="BW7" s="10">
        <f t="shared" si="24"/>
        <v>88914</v>
      </c>
      <c r="BX7" s="10">
        <v>89644</v>
      </c>
      <c r="BY7" s="10">
        <v>908</v>
      </c>
      <c r="BZ7" s="10">
        <f t="shared" si="25"/>
        <v>23108</v>
      </c>
      <c r="CA7" s="10">
        <v>24016</v>
      </c>
      <c r="CB7" s="10"/>
      <c r="CC7" s="10">
        <f t="shared" si="26"/>
        <v>239173</v>
      </c>
      <c r="CD7" s="10">
        <v>239173</v>
      </c>
      <c r="CE7" s="10">
        <v>512</v>
      </c>
      <c r="CF7" s="10">
        <f t="shared" si="27"/>
        <v>180534</v>
      </c>
      <c r="CG7" s="10">
        <v>181046</v>
      </c>
      <c r="CH7" s="10">
        <v>6279</v>
      </c>
      <c r="CI7" s="10">
        <f t="shared" si="28"/>
        <v>1294760</v>
      </c>
      <c r="CJ7" s="10">
        <v>1301039</v>
      </c>
      <c r="CK7" s="124">
        <v>5741</v>
      </c>
      <c r="CL7" s="10">
        <f t="shared" si="29"/>
        <v>313661</v>
      </c>
      <c r="CM7" s="124">
        <v>319402</v>
      </c>
      <c r="CN7" s="124">
        <v>5215</v>
      </c>
      <c r="CO7" s="10">
        <f t="shared" si="30"/>
        <v>969444</v>
      </c>
      <c r="CP7" s="124">
        <v>974659</v>
      </c>
      <c r="CQ7" s="10">
        <v>230</v>
      </c>
      <c r="CR7" s="10">
        <f t="shared" si="31"/>
        <v>34156</v>
      </c>
      <c r="CS7" s="10">
        <v>34386</v>
      </c>
    </row>
    <row r="8" spans="1:97" x14ac:dyDescent="0.25">
      <c r="A8" s="10" t="s">
        <v>161</v>
      </c>
      <c r="B8" s="10"/>
      <c r="C8" s="10">
        <f t="shared" si="0"/>
        <v>280</v>
      </c>
      <c r="D8" s="10">
        <v>280</v>
      </c>
      <c r="E8" s="10"/>
      <c r="F8" s="10">
        <f t="shared" si="1"/>
        <v>4861</v>
      </c>
      <c r="G8" s="10">
        <v>4861</v>
      </c>
      <c r="H8" s="10"/>
      <c r="I8" s="10">
        <f t="shared" si="2"/>
        <v>0</v>
      </c>
      <c r="J8" s="10">
        <v>0</v>
      </c>
      <c r="K8" s="10">
        <v>319</v>
      </c>
      <c r="L8" s="10">
        <f t="shared" si="3"/>
        <v>24020</v>
      </c>
      <c r="M8" s="10">
        <v>24339</v>
      </c>
      <c r="N8" s="10">
        <v>0</v>
      </c>
      <c r="O8" s="10">
        <f t="shared" si="4"/>
        <v>1348</v>
      </c>
      <c r="P8" s="10">
        <v>1348</v>
      </c>
      <c r="Q8" s="10"/>
      <c r="R8" s="10">
        <f t="shared" si="5"/>
        <v>13343</v>
      </c>
      <c r="S8" s="10">
        <v>13343</v>
      </c>
      <c r="T8" s="10">
        <v>0</v>
      </c>
      <c r="U8" s="10">
        <f t="shared" ref="U8:U14" si="32">V8-T8</f>
        <v>9003</v>
      </c>
      <c r="V8" s="10">
        <v>9003</v>
      </c>
      <c r="W8" s="10"/>
      <c r="X8" s="10">
        <f t="shared" si="7"/>
        <v>55</v>
      </c>
      <c r="Y8" s="10">
        <v>55</v>
      </c>
      <c r="Z8" s="10"/>
      <c r="AA8" s="10">
        <f t="shared" si="8"/>
        <v>418</v>
      </c>
      <c r="AB8" s="10">
        <v>418</v>
      </c>
      <c r="AC8" s="10">
        <v>27</v>
      </c>
      <c r="AD8" s="10">
        <f t="shared" si="9"/>
        <v>3576</v>
      </c>
      <c r="AE8" s="10">
        <v>3603</v>
      </c>
      <c r="AF8" s="10">
        <v>6</v>
      </c>
      <c r="AG8" s="10">
        <f t="shared" si="10"/>
        <v>1622</v>
      </c>
      <c r="AH8" s="10">
        <v>1628</v>
      </c>
      <c r="AI8" s="10">
        <v>89</v>
      </c>
      <c r="AJ8" s="10">
        <f t="shared" si="11"/>
        <v>7602</v>
      </c>
      <c r="AK8" s="10">
        <v>7691</v>
      </c>
      <c r="AL8" s="10">
        <v>490</v>
      </c>
      <c r="AM8" s="10">
        <f t="shared" si="12"/>
        <v>28577</v>
      </c>
      <c r="AN8" s="10">
        <v>29067</v>
      </c>
      <c r="AO8" s="10">
        <v>0</v>
      </c>
      <c r="AP8" s="10">
        <f t="shared" si="13"/>
        <v>3537</v>
      </c>
      <c r="AQ8" s="10">
        <v>3537</v>
      </c>
      <c r="AR8" s="10">
        <v>2</v>
      </c>
      <c r="AS8" s="10">
        <f t="shared" si="14"/>
        <v>2544</v>
      </c>
      <c r="AT8" s="10">
        <v>2546</v>
      </c>
      <c r="AU8" s="10">
        <v>4</v>
      </c>
      <c r="AV8" s="10">
        <f t="shared" si="15"/>
        <v>3023</v>
      </c>
      <c r="AW8" s="10">
        <v>3027</v>
      </c>
      <c r="AX8" s="10"/>
      <c r="AY8" s="10">
        <f t="shared" si="16"/>
        <v>559</v>
      </c>
      <c r="AZ8" s="10">
        <v>559</v>
      </c>
      <c r="BA8" s="10"/>
      <c r="BB8" s="10">
        <f t="shared" si="17"/>
        <v>4978</v>
      </c>
      <c r="BC8" s="10">
        <v>4978</v>
      </c>
      <c r="BD8" s="124">
        <v>1395</v>
      </c>
      <c r="BE8" s="10">
        <f t="shared" si="18"/>
        <v>39906</v>
      </c>
      <c r="BF8" s="10">
        <v>41301</v>
      </c>
      <c r="BG8" s="10"/>
      <c r="BH8" s="10">
        <f t="shared" si="19"/>
        <v>9</v>
      </c>
      <c r="BI8" s="10">
        <v>9</v>
      </c>
      <c r="BJ8" s="10"/>
      <c r="BK8" s="10">
        <f t="shared" si="20"/>
        <v>5598</v>
      </c>
      <c r="BL8" s="10">
        <v>5598</v>
      </c>
      <c r="BM8" s="10">
        <v>0</v>
      </c>
      <c r="BN8" s="10">
        <f t="shared" si="21"/>
        <v>181</v>
      </c>
      <c r="BO8" s="10">
        <v>181</v>
      </c>
      <c r="BP8" s="10">
        <v>40</v>
      </c>
      <c r="BQ8" s="10">
        <f t="shared" si="22"/>
        <v>12476</v>
      </c>
      <c r="BR8" s="10">
        <v>12516</v>
      </c>
      <c r="BS8" s="10"/>
      <c r="BT8" s="10">
        <f t="shared" si="23"/>
        <v>1405</v>
      </c>
      <c r="BU8" s="10">
        <v>1405</v>
      </c>
      <c r="BV8" s="10"/>
      <c r="BW8" s="10">
        <f t="shared" si="24"/>
        <v>2930</v>
      </c>
      <c r="BX8" s="10">
        <v>2930</v>
      </c>
      <c r="BY8" s="10"/>
      <c r="BZ8" s="10">
        <f t="shared" si="25"/>
        <v>1671</v>
      </c>
      <c r="CA8" s="10">
        <v>1671</v>
      </c>
      <c r="CB8" s="10"/>
      <c r="CC8" s="10">
        <f t="shared" si="26"/>
        <v>36664</v>
      </c>
      <c r="CD8" s="10">
        <v>36664</v>
      </c>
      <c r="CE8" s="10"/>
      <c r="CF8" s="10">
        <f t="shared" si="27"/>
        <v>3922</v>
      </c>
      <c r="CG8" s="10">
        <v>3922</v>
      </c>
      <c r="CH8" s="10">
        <v>122</v>
      </c>
      <c r="CI8" s="10">
        <f t="shared" si="28"/>
        <v>3221</v>
      </c>
      <c r="CJ8" s="10">
        <v>3343</v>
      </c>
      <c r="CK8" s="124">
        <v>302</v>
      </c>
      <c r="CL8" s="10">
        <f t="shared" si="29"/>
        <v>26368</v>
      </c>
      <c r="CM8" s="124">
        <v>26670</v>
      </c>
      <c r="CN8" s="124">
        <v>842</v>
      </c>
      <c r="CO8" s="10">
        <f t="shared" si="30"/>
        <v>41510</v>
      </c>
      <c r="CP8" s="124">
        <v>42352</v>
      </c>
      <c r="CQ8" s="10">
        <v>1</v>
      </c>
      <c r="CR8" s="10">
        <f t="shared" si="31"/>
        <v>2010</v>
      </c>
      <c r="CS8" s="10">
        <v>2011</v>
      </c>
    </row>
    <row r="9" spans="1:97" x14ac:dyDescent="0.25">
      <c r="A9" s="10" t="s">
        <v>162</v>
      </c>
      <c r="B9" s="10"/>
      <c r="C9" s="10">
        <f t="shared" si="0"/>
        <v>11500</v>
      </c>
      <c r="D9" s="10">
        <v>11500</v>
      </c>
      <c r="E9" s="10"/>
      <c r="F9" s="10">
        <f t="shared" si="1"/>
        <v>0</v>
      </c>
      <c r="G9" s="10"/>
      <c r="H9" s="10"/>
      <c r="I9" s="10">
        <f t="shared" si="2"/>
        <v>0</v>
      </c>
      <c r="J9" s="10">
        <v>0</v>
      </c>
      <c r="K9" s="10">
        <v>295</v>
      </c>
      <c r="L9" s="10">
        <f t="shared" si="3"/>
        <v>31685</v>
      </c>
      <c r="M9" s="10">
        <v>31980</v>
      </c>
      <c r="N9" s="10">
        <v>194</v>
      </c>
      <c r="O9" s="10">
        <f t="shared" si="4"/>
        <v>4729</v>
      </c>
      <c r="P9" s="10">
        <v>4923</v>
      </c>
      <c r="Q9" s="10"/>
      <c r="R9" s="10">
        <f t="shared" si="5"/>
        <v>0</v>
      </c>
      <c r="S9" s="10"/>
      <c r="T9" s="10">
        <v>317</v>
      </c>
      <c r="U9" s="10">
        <f t="shared" si="32"/>
        <v>1026</v>
      </c>
      <c r="V9" s="10">
        <v>1343</v>
      </c>
      <c r="W9" s="10"/>
      <c r="X9" s="10">
        <f t="shared" si="7"/>
        <v>0</v>
      </c>
      <c r="Y9" s="10">
        <v>0</v>
      </c>
      <c r="Z9" s="10">
        <v>3</v>
      </c>
      <c r="AA9" s="10">
        <f t="shared" si="8"/>
        <v>292</v>
      </c>
      <c r="AB9" s="10">
        <v>295</v>
      </c>
      <c r="AC9" s="10">
        <v>6</v>
      </c>
      <c r="AD9" s="10">
        <f t="shared" si="9"/>
        <v>2916</v>
      </c>
      <c r="AE9" s="10">
        <v>2922</v>
      </c>
      <c r="AF9" s="10">
        <v>40</v>
      </c>
      <c r="AG9" s="10">
        <f t="shared" si="10"/>
        <v>4321</v>
      </c>
      <c r="AH9" s="10">
        <v>4361</v>
      </c>
      <c r="AI9" s="10">
        <v>17</v>
      </c>
      <c r="AJ9" s="10">
        <f t="shared" si="11"/>
        <v>23607</v>
      </c>
      <c r="AK9" s="10">
        <v>23624</v>
      </c>
      <c r="AL9" s="10">
        <v>856</v>
      </c>
      <c r="AM9" s="10">
        <f t="shared" si="12"/>
        <v>25053</v>
      </c>
      <c r="AN9" s="10">
        <v>25909</v>
      </c>
      <c r="AO9" s="10">
        <v>62</v>
      </c>
      <c r="AP9" s="10">
        <f t="shared" si="13"/>
        <v>5416</v>
      </c>
      <c r="AQ9" s="10">
        <v>5478</v>
      </c>
      <c r="AR9" s="10">
        <v>2</v>
      </c>
      <c r="AS9" s="10">
        <f t="shared" si="14"/>
        <v>581</v>
      </c>
      <c r="AT9" s="10">
        <v>583</v>
      </c>
      <c r="AU9" s="10">
        <v>73</v>
      </c>
      <c r="AV9" s="10">
        <f t="shared" si="15"/>
        <v>2081</v>
      </c>
      <c r="AW9" s="10">
        <v>2154</v>
      </c>
      <c r="AX9" s="10">
        <v>75</v>
      </c>
      <c r="AY9" s="10">
        <f t="shared" si="16"/>
        <v>2573</v>
      </c>
      <c r="AZ9" s="10">
        <v>2648</v>
      </c>
      <c r="BA9" s="10"/>
      <c r="BB9" s="10">
        <f t="shared" si="17"/>
        <v>1830</v>
      </c>
      <c r="BC9" s="10">
        <v>1830</v>
      </c>
      <c r="BD9" s="124"/>
      <c r="BE9" s="10">
        <f t="shared" si="18"/>
        <v>0</v>
      </c>
      <c r="BF9" s="10"/>
      <c r="BG9" s="10">
        <v>6</v>
      </c>
      <c r="BH9" s="10">
        <f t="shared" si="19"/>
        <v>301</v>
      </c>
      <c r="BI9" s="10">
        <v>307</v>
      </c>
      <c r="BJ9" s="10"/>
      <c r="BK9" s="10">
        <f t="shared" si="20"/>
        <v>0</v>
      </c>
      <c r="BL9" s="10"/>
      <c r="BM9" s="10">
        <v>7</v>
      </c>
      <c r="BN9" s="10">
        <f t="shared" si="21"/>
        <v>216</v>
      </c>
      <c r="BO9" s="10">
        <v>223</v>
      </c>
      <c r="BP9" s="10">
        <v>514</v>
      </c>
      <c r="BQ9" s="10">
        <f t="shared" si="22"/>
        <v>10293</v>
      </c>
      <c r="BR9" s="10">
        <v>10807</v>
      </c>
      <c r="BS9" s="10">
        <v>21</v>
      </c>
      <c r="BT9" s="10">
        <f t="shared" si="23"/>
        <v>3104</v>
      </c>
      <c r="BU9" s="10">
        <v>3125</v>
      </c>
      <c r="BV9" s="10">
        <v>1239</v>
      </c>
      <c r="BW9" s="10">
        <f t="shared" si="24"/>
        <v>18556</v>
      </c>
      <c r="BX9" s="10">
        <v>19795</v>
      </c>
      <c r="BY9" s="10">
        <v>423</v>
      </c>
      <c r="BZ9" s="10">
        <f t="shared" si="25"/>
        <v>2767</v>
      </c>
      <c r="CA9" s="10">
        <v>3190</v>
      </c>
      <c r="CB9" s="10"/>
      <c r="CC9" s="10">
        <f t="shared" si="26"/>
        <v>29797</v>
      </c>
      <c r="CD9" s="10">
        <v>29797</v>
      </c>
      <c r="CE9" s="10">
        <v>405</v>
      </c>
      <c r="CF9" s="10">
        <f t="shared" si="27"/>
        <v>23385</v>
      </c>
      <c r="CG9" s="10">
        <v>23790</v>
      </c>
      <c r="CH9" s="10"/>
      <c r="CI9" s="10">
        <f t="shared" si="28"/>
        <v>0</v>
      </c>
      <c r="CJ9" s="10"/>
      <c r="CK9" s="10"/>
      <c r="CL9" s="10">
        <f t="shared" si="29"/>
        <v>0</v>
      </c>
      <c r="CM9" s="10"/>
      <c r="CN9" s="124">
        <v>39</v>
      </c>
      <c r="CO9" s="10">
        <f t="shared" si="30"/>
        <v>3324</v>
      </c>
      <c r="CP9" s="124">
        <v>3363</v>
      </c>
      <c r="CQ9" s="10">
        <v>31</v>
      </c>
      <c r="CR9" s="10">
        <f t="shared" si="31"/>
        <v>4266</v>
      </c>
      <c r="CS9" s="10">
        <v>4297</v>
      </c>
    </row>
    <row r="10" spans="1:97" x14ac:dyDescent="0.25">
      <c r="A10" s="10" t="s">
        <v>163</v>
      </c>
      <c r="B10" s="10">
        <v>546</v>
      </c>
      <c r="C10" s="10">
        <f t="shared" si="0"/>
        <v>11314</v>
      </c>
      <c r="D10" s="10">
        <v>11860</v>
      </c>
      <c r="E10" s="10"/>
      <c r="F10" s="10">
        <f t="shared" si="1"/>
        <v>11493</v>
      </c>
      <c r="G10" s="10">
        <v>11493</v>
      </c>
      <c r="H10" s="10"/>
      <c r="I10" s="10">
        <f t="shared" si="2"/>
        <v>2361540</v>
      </c>
      <c r="J10" s="10">
        <v>2361540</v>
      </c>
      <c r="K10" s="10">
        <v>54587</v>
      </c>
      <c r="L10" s="10">
        <f t="shared" si="3"/>
        <v>230958</v>
      </c>
      <c r="M10" s="10">
        <v>285545</v>
      </c>
      <c r="N10" s="10">
        <v>11401</v>
      </c>
      <c r="O10" s="10">
        <f t="shared" si="4"/>
        <v>24827</v>
      </c>
      <c r="P10" s="10">
        <v>36228</v>
      </c>
      <c r="Q10" s="10"/>
      <c r="R10" s="10">
        <f t="shared" si="5"/>
        <v>23361</v>
      </c>
      <c r="S10" s="10">
        <v>23361</v>
      </c>
      <c r="T10" s="10">
        <v>32231</v>
      </c>
      <c r="U10" s="10">
        <f t="shared" si="32"/>
        <v>55369</v>
      </c>
      <c r="V10" s="10">
        <v>87600</v>
      </c>
      <c r="W10" s="10"/>
      <c r="X10" s="10">
        <f t="shared" si="7"/>
        <v>916</v>
      </c>
      <c r="Y10" s="10">
        <v>916</v>
      </c>
      <c r="Z10" s="10">
        <v>235</v>
      </c>
      <c r="AA10" s="10">
        <f t="shared" si="8"/>
        <v>3270</v>
      </c>
      <c r="AB10" s="10">
        <v>3505</v>
      </c>
      <c r="AC10" s="10">
        <v>9066</v>
      </c>
      <c r="AD10" s="10">
        <f t="shared" si="9"/>
        <v>32689</v>
      </c>
      <c r="AE10" s="10">
        <v>41755</v>
      </c>
      <c r="AF10" s="10">
        <v>5483</v>
      </c>
      <c r="AG10" s="10">
        <f t="shared" si="10"/>
        <v>12492</v>
      </c>
      <c r="AH10" s="10">
        <v>17975</v>
      </c>
      <c r="AI10" s="10">
        <v>36306</v>
      </c>
      <c r="AJ10" s="10">
        <f t="shared" si="11"/>
        <v>159805</v>
      </c>
      <c r="AK10" s="10">
        <v>196111</v>
      </c>
      <c r="AL10" s="10">
        <v>51409</v>
      </c>
      <c r="AM10" s="10">
        <f t="shared" si="12"/>
        <v>177973</v>
      </c>
      <c r="AN10" s="10">
        <v>229382</v>
      </c>
      <c r="AO10" s="10">
        <v>40804</v>
      </c>
      <c r="AP10" s="10">
        <f t="shared" si="13"/>
        <v>39541</v>
      </c>
      <c r="AQ10" s="10">
        <v>80345</v>
      </c>
      <c r="AR10" s="10">
        <v>976</v>
      </c>
      <c r="AS10" s="10">
        <f t="shared" si="14"/>
        <v>5248</v>
      </c>
      <c r="AT10" s="10">
        <v>6224</v>
      </c>
      <c r="AU10" s="10">
        <v>7281</v>
      </c>
      <c r="AV10" s="10">
        <f t="shared" si="15"/>
        <v>8241</v>
      </c>
      <c r="AW10" s="10">
        <v>15522</v>
      </c>
      <c r="AX10" s="10">
        <v>7718</v>
      </c>
      <c r="AY10" s="10">
        <f t="shared" si="16"/>
        <v>12604</v>
      </c>
      <c r="AZ10" s="10">
        <v>20322</v>
      </c>
      <c r="BA10" s="10"/>
      <c r="BB10" s="10">
        <f t="shared" si="17"/>
        <v>7560</v>
      </c>
      <c r="BC10" s="10">
        <v>7560</v>
      </c>
      <c r="BD10" s="124">
        <v>161898</v>
      </c>
      <c r="BE10" s="10">
        <f t="shared" si="18"/>
        <v>492920</v>
      </c>
      <c r="BF10" s="10">
        <v>654818</v>
      </c>
      <c r="BG10" s="10">
        <v>329</v>
      </c>
      <c r="BH10" s="10">
        <f t="shared" si="19"/>
        <v>658</v>
      </c>
      <c r="BI10" s="10">
        <v>987</v>
      </c>
      <c r="BJ10" s="10"/>
      <c r="BK10" s="10">
        <f t="shared" si="20"/>
        <v>11998</v>
      </c>
      <c r="BL10" s="10">
        <v>11998</v>
      </c>
      <c r="BM10" s="10">
        <v>687</v>
      </c>
      <c r="BN10" s="10">
        <f t="shared" si="21"/>
        <v>3868</v>
      </c>
      <c r="BO10" s="10">
        <v>4555</v>
      </c>
      <c r="BP10" s="10">
        <v>58446</v>
      </c>
      <c r="BQ10" s="10">
        <f t="shared" si="22"/>
        <v>230051</v>
      </c>
      <c r="BR10" s="10">
        <v>288497</v>
      </c>
      <c r="BS10" s="10">
        <v>23625</v>
      </c>
      <c r="BT10" s="10">
        <f t="shared" si="23"/>
        <v>21053</v>
      </c>
      <c r="BU10" s="10">
        <v>44678</v>
      </c>
      <c r="BV10" s="10">
        <v>8592</v>
      </c>
      <c r="BW10" s="10">
        <f t="shared" si="24"/>
        <v>39316</v>
      </c>
      <c r="BX10" s="10">
        <v>47908</v>
      </c>
      <c r="BY10" s="10">
        <v>44832</v>
      </c>
      <c r="BZ10" s="10">
        <f t="shared" si="25"/>
        <v>9058</v>
      </c>
      <c r="CA10" s="10">
        <v>53890</v>
      </c>
      <c r="CB10" s="10"/>
      <c r="CC10" s="10">
        <f t="shared" si="26"/>
        <v>164640</v>
      </c>
      <c r="CD10" s="10">
        <v>164640</v>
      </c>
      <c r="CE10" s="10">
        <v>25207</v>
      </c>
      <c r="CF10" s="10">
        <f t="shared" si="27"/>
        <v>94996</v>
      </c>
      <c r="CG10" s="10">
        <v>120203</v>
      </c>
      <c r="CH10" s="10">
        <v>166800</v>
      </c>
      <c r="CI10" s="10">
        <f t="shared" si="28"/>
        <v>310305</v>
      </c>
      <c r="CJ10" s="10">
        <v>477105</v>
      </c>
      <c r="CK10" s="124">
        <v>97159</v>
      </c>
      <c r="CL10" s="10">
        <f t="shared" si="29"/>
        <v>356451</v>
      </c>
      <c r="CM10" s="124">
        <v>453610</v>
      </c>
      <c r="CN10" s="124">
        <v>172688</v>
      </c>
      <c r="CO10" s="10">
        <f t="shared" si="30"/>
        <v>539858</v>
      </c>
      <c r="CP10" s="124">
        <v>712546</v>
      </c>
      <c r="CQ10" s="10">
        <v>9774</v>
      </c>
      <c r="CR10" s="10">
        <f t="shared" si="31"/>
        <v>24407</v>
      </c>
      <c r="CS10" s="10">
        <v>34181</v>
      </c>
    </row>
    <row r="11" spans="1:97" x14ac:dyDescent="0.25">
      <c r="A11" s="10" t="s">
        <v>164</v>
      </c>
      <c r="B11" s="10">
        <v>118</v>
      </c>
      <c r="C11" s="10">
        <f t="shared" si="0"/>
        <v>10010</v>
      </c>
      <c r="D11" s="10">
        <v>10128</v>
      </c>
      <c r="E11" s="10"/>
      <c r="F11" s="10">
        <f t="shared" si="1"/>
        <v>11276</v>
      </c>
      <c r="G11" s="10">
        <v>11276</v>
      </c>
      <c r="H11" s="10"/>
      <c r="I11" s="10">
        <f t="shared" si="2"/>
        <v>453046</v>
      </c>
      <c r="J11" s="10">
        <v>453046</v>
      </c>
      <c r="K11" s="10">
        <v>2258</v>
      </c>
      <c r="L11" s="10">
        <f t="shared" si="3"/>
        <v>119192</v>
      </c>
      <c r="M11" s="10">
        <v>121450</v>
      </c>
      <c r="N11" s="10">
        <v>600</v>
      </c>
      <c r="O11" s="10">
        <f t="shared" si="4"/>
        <v>16542</v>
      </c>
      <c r="P11" s="10">
        <v>17142</v>
      </c>
      <c r="Q11" s="10"/>
      <c r="R11" s="10">
        <f t="shared" si="5"/>
        <v>21303</v>
      </c>
      <c r="S11" s="10">
        <v>21303</v>
      </c>
      <c r="T11" s="10">
        <v>2973</v>
      </c>
      <c r="U11" s="10">
        <f t="shared" si="32"/>
        <v>35986</v>
      </c>
      <c r="V11" s="10">
        <v>38959</v>
      </c>
      <c r="W11" s="10"/>
      <c r="X11" s="10">
        <f t="shared" si="7"/>
        <v>311</v>
      </c>
      <c r="Y11" s="10">
        <v>311</v>
      </c>
      <c r="Z11" s="10">
        <v>41</v>
      </c>
      <c r="AA11" s="10">
        <f t="shared" si="8"/>
        <v>3006</v>
      </c>
      <c r="AB11" s="10">
        <v>3047</v>
      </c>
      <c r="AC11" s="10">
        <v>667</v>
      </c>
      <c r="AD11" s="10">
        <f t="shared" si="9"/>
        <v>27102</v>
      </c>
      <c r="AE11" s="10">
        <v>27769</v>
      </c>
      <c r="AF11" s="10">
        <v>1069</v>
      </c>
      <c r="AG11" s="10">
        <f t="shared" si="10"/>
        <v>10550</v>
      </c>
      <c r="AH11" s="10">
        <v>11619</v>
      </c>
      <c r="AI11" s="10">
        <v>1550</v>
      </c>
      <c r="AJ11" s="10">
        <f t="shared" si="11"/>
        <v>130240</v>
      </c>
      <c r="AK11" s="10">
        <v>131790</v>
      </c>
      <c r="AL11" s="10">
        <v>3402</v>
      </c>
      <c r="AM11" s="10">
        <f t="shared" si="12"/>
        <v>161001</v>
      </c>
      <c r="AN11" s="10">
        <v>164403</v>
      </c>
      <c r="AO11" s="10">
        <v>2116</v>
      </c>
      <c r="AP11" s="10">
        <f t="shared" si="13"/>
        <v>31214</v>
      </c>
      <c r="AQ11" s="10">
        <v>33330</v>
      </c>
      <c r="AR11" s="10">
        <v>58</v>
      </c>
      <c r="AS11" s="10">
        <f t="shared" si="14"/>
        <v>4670</v>
      </c>
      <c r="AT11" s="10">
        <v>4728</v>
      </c>
      <c r="AU11" s="10">
        <v>642</v>
      </c>
      <c r="AV11" s="10">
        <f t="shared" si="15"/>
        <v>6416</v>
      </c>
      <c r="AW11" s="10">
        <v>7058</v>
      </c>
      <c r="AX11" s="10">
        <v>834</v>
      </c>
      <c r="AY11" s="10">
        <f t="shared" si="16"/>
        <v>10901</v>
      </c>
      <c r="AZ11" s="10">
        <v>11735</v>
      </c>
      <c r="BA11" s="10"/>
      <c r="BB11" s="10">
        <f t="shared" si="17"/>
        <v>7466</v>
      </c>
      <c r="BC11" s="10">
        <v>7466</v>
      </c>
      <c r="BD11" s="10">
        <v>2288</v>
      </c>
      <c r="BE11" s="10">
        <f t="shared" si="18"/>
        <v>203657</v>
      </c>
      <c r="BF11" s="10">
        <v>205945</v>
      </c>
      <c r="BG11" s="10">
        <v>84</v>
      </c>
      <c r="BH11" s="10">
        <f t="shared" si="19"/>
        <v>531</v>
      </c>
      <c r="BI11" s="10">
        <v>615</v>
      </c>
      <c r="BJ11" s="10"/>
      <c r="BK11" s="10">
        <f t="shared" si="20"/>
        <v>11998</v>
      </c>
      <c r="BL11" s="10">
        <v>11998</v>
      </c>
      <c r="BM11" s="10">
        <v>38</v>
      </c>
      <c r="BN11" s="10">
        <f t="shared" si="21"/>
        <v>3070</v>
      </c>
      <c r="BO11" s="10">
        <v>3108</v>
      </c>
      <c r="BP11" s="10">
        <v>1630</v>
      </c>
      <c r="BQ11" s="10">
        <f t="shared" si="22"/>
        <v>202838</v>
      </c>
      <c r="BR11" s="10">
        <v>204468</v>
      </c>
      <c r="BS11" s="10">
        <v>1401</v>
      </c>
      <c r="BT11" s="10">
        <f t="shared" si="23"/>
        <v>14462</v>
      </c>
      <c r="BU11" s="10">
        <v>15863</v>
      </c>
      <c r="BV11" s="10">
        <v>525</v>
      </c>
      <c r="BW11" s="10">
        <f t="shared" si="24"/>
        <v>22866</v>
      </c>
      <c r="BX11" s="10">
        <v>23391</v>
      </c>
      <c r="BY11" s="10">
        <v>2647</v>
      </c>
      <c r="BZ11" s="10">
        <f t="shared" si="25"/>
        <v>4934</v>
      </c>
      <c r="CA11" s="10">
        <v>7581</v>
      </c>
      <c r="CB11" s="10"/>
      <c r="CC11" s="10">
        <f t="shared" si="26"/>
        <v>151589</v>
      </c>
      <c r="CD11" s="10">
        <v>151589</v>
      </c>
      <c r="CE11" s="10">
        <v>2329</v>
      </c>
      <c r="CF11" s="10">
        <f t="shared" si="27"/>
        <v>81927</v>
      </c>
      <c r="CG11" s="10">
        <v>84256</v>
      </c>
      <c r="CH11" s="10">
        <v>2993</v>
      </c>
      <c r="CI11" s="10">
        <f t="shared" si="28"/>
        <v>247280</v>
      </c>
      <c r="CJ11" s="10">
        <f>77683+172590</f>
        <v>250273</v>
      </c>
      <c r="CK11" s="124">
        <v>9638</v>
      </c>
      <c r="CL11" s="10">
        <f t="shared" si="29"/>
        <v>322063</v>
      </c>
      <c r="CM11" s="124">
        <v>331701</v>
      </c>
      <c r="CN11" s="124">
        <v>7270</v>
      </c>
      <c r="CO11" s="10">
        <f t="shared" si="30"/>
        <v>493191</v>
      </c>
      <c r="CP11" s="124">
        <v>500461</v>
      </c>
      <c r="CQ11" s="10">
        <v>478</v>
      </c>
      <c r="CR11" s="10">
        <f t="shared" si="31"/>
        <v>17943</v>
      </c>
      <c r="CS11" s="10">
        <v>18421</v>
      </c>
    </row>
    <row r="12" spans="1:97" x14ac:dyDescent="0.25">
      <c r="A12" s="10" t="s">
        <v>165</v>
      </c>
      <c r="B12" s="10">
        <v>146</v>
      </c>
      <c r="C12" s="10">
        <f t="shared" si="0"/>
        <v>997</v>
      </c>
      <c r="D12" s="10">
        <v>1143</v>
      </c>
      <c r="E12" s="10"/>
      <c r="F12" s="10">
        <f t="shared" si="1"/>
        <v>147</v>
      </c>
      <c r="G12" s="10">
        <v>147</v>
      </c>
      <c r="H12" s="10"/>
      <c r="I12" s="10">
        <f t="shared" si="2"/>
        <v>122844</v>
      </c>
      <c r="J12" s="10">
        <v>122844</v>
      </c>
      <c r="K12" s="10">
        <v>5040</v>
      </c>
      <c r="L12" s="10">
        <f t="shared" si="3"/>
        <v>25879</v>
      </c>
      <c r="M12" s="10">
        <v>30919</v>
      </c>
      <c r="N12" s="10">
        <v>1372</v>
      </c>
      <c r="O12" s="10">
        <f t="shared" si="4"/>
        <v>3063</v>
      </c>
      <c r="P12" s="10">
        <v>4435</v>
      </c>
      <c r="Q12" s="10"/>
      <c r="R12" s="10">
        <f t="shared" si="5"/>
        <v>1842</v>
      </c>
      <c r="S12" s="10">
        <v>1842</v>
      </c>
      <c r="T12" s="10">
        <v>4287</v>
      </c>
      <c r="U12" s="10">
        <f t="shared" si="32"/>
        <v>3793</v>
      </c>
      <c r="V12" s="10">
        <v>8080</v>
      </c>
      <c r="W12" s="10"/>
      <c r="X12" s="10">
        <f t="shared" si="7"/>
        <v>243</v>
      </c>
      <c r="Y12" s="10">
        <v>243</v>
      </c>
      <c r="Z12" s="10">
        <v>46</v>
      </c>
      <c r="AA12" s="10">
        <f t="shared" si="8"/>
        <v>182</v>
      </c>
      <c r="AB12" s="10">
        <v>228</v>
      </c>
      <c r="AC12" s="10">
        <v>1024</v>
      </c>
      <c r="AD12" s="10">
        <f t="shared" si="9"/>
        <v>2271</v>
      </c>
      <c r="AE12" s="10">
        <v>3295</v>
      </c>
      <c r="AF12" s="10">
        <v>1441</v>
      </c>
      <c r="AG12" s="10">
        <f t="shared" si="10"/>
        <v>927</v>
      </c>
      <c r="AH12" s="10">
        <v>2368</v>
      </c>
      <c r="AI12" s="10">
        <v>3737</v>
      </c>
      <c r="AJ12" s="10">
        <f t="shared" si="11"/>
        <v>16629</v>
      </c>
      <c r="AK12" s="10">
        <v>20366</v>
      </c>
      <c r="AL12" s="10">
        <v>5131</v>
      </c>
      <c r="AM12" s="10">
        <f t="shared" si="12"/>
        <v>8036</v>
      </c>
      <c r="AN12" s="10">
        <v>13167</v>
      </c>
      <c r="AO12" s="10">
        <v>4667</v>
      </c>
      <c r="AP12" s="10">
        <f t="shared" si="13"/>
        <v>5733</v>
      </c>
      <c r="AQ12" s="10">
        <v>10400</v>
      </c>
      <c r="AR12" s="10">
        <v>173</v>
      </c>
      <c r="AS12" s="10">
        <f t="shared" si="14"/>
        <v>340</v>
      </c>
      <c r="AT12" s="10">
        <v>513</v>
      </c>
      <c r="AU12" s="10">
        <v>700</v>
      </c>
      <c r="AV12" s="10">
        <f t="shared" si="15"/>
        <v>601</v>
      </c>
      <c r="AW12" s="10">
        <v>1301</v>
      </c>
      <c r="AX12" s="10">
        <v>636</v>
      </c>
      <c r="AY12" s="10">
        <f t="shared" si="16"/>
        <v>1051</v>
      </c>
      <c r="AZ12" s="10">
        <v>1687</v>
      </c>
      <c r="BA12" s="10"/>
      <c r="BB12" s="10">
        <f t="shared" si="17"/>
        <v>81</v>
      </c>
      <c r="BC12" s="10">
        <v>81</v>
      </c>
      <c r="BD12" s="10">
        <v>8810</v>
      </c>
      <c r="BE12" s="10">
        <f t="shared" si="18"/>
        <v>40167</v>
      </c>
      <c r="BF12" s="10">
        <v>48977</v>
      </c>
      <c r="BG12" s="10">
        <v>80</v>
      </c>
      <c r="BH12" s="10">
        <f t="shared" si="19"/>
        <v>76</v>
      </c>
      <c r="BI12" s="10">
        <v>156</v>
      </c>
      <c r="BJ12" s="10"/>
      <c r="BK12" s="10">
        <f t="shared" si="20"/>
        <v>0</v>
      </c>
      <c r="BL12" s="10"/>
      <c r="BM12" s="10">
        <v>118</v>
      </c>
      <c r="BN12" s="10">
        <f t="shared" si="21"/>
        <v>473</v>
      </c>
      <c r="BO12" s="10">
        <v>591</v>
      </c>
      <c r="BP12" s="10">
        <v>3492</v>
      </c>
      <c r="BQ12" s="10">
        <f t="shared" si="22"/>
        <v>8938</v>
      </c>
      <c r="BR12" s="10">
        <v>12430</v>
      </c>
      <c r="BS12" s="10">
        <v>2116</v>
      </c>
      <c r="BT12" s="10">
        <f t="shared" si="23"/>
        <v>2397</v>
      </c>
      <c r="BU12" s="10">
        <v>4513</v>
      </c>
      <c r="BV12" s="10">
        <v>1374</v>
      </c>
      <c r="BW12" s="10">
        <f t="shared" si="24"/>
        <v>6792</v>
      </c>
      <c r="BX12" s="10">
        <v>8166</v>
      </c>
      <c r="BY12" s="10">
        <v>2667</v>
      </c>
      <c r="BZ12" s="10">
        <f t="shared" si="25"/>
        <v>806</v>
      </c>
      <c r="CA12" s="10">
        <v>3473</v>
      </c>
      <c r="CB12" s="10"/>
      <c r="CC12" s="10">
        <f t="shared" si="26"/>
        <v>7858</v>
      </c>
      <c r="CD12" s="10">
        <v>7858</v>
      </c>
      <c r="CE12" s="10">
        <v>2693</v>
      </c>
      <c r="CF12" s="10">
        <f t="shared" si="27"/>
        <v>6979</v>
      </c>
      <c r="CG12" s="10">
        <v>9672</v>
      </c>
      <c r="CH12" s="10">
        <v>13788</v>
      </c>
      <c r="CI12" s="10">
        <f t="shared" si="28"/>
        <v>29941</v>
      </c>
      <c r="CJ12" s="10">
        <v>43729</v>
      </c>
      <c r="CK12" s="124">
        <v>8986</v>
      </c>
      <c r="CL12" s="10">
        <f t="shared" si="29"/>
        <v>16632</v>
      </c>
      <c r="CM12" s="124">
        <v>25618</v>
      </c>
      <c r="CN12" s="124">
        <v>11670</v>
      </c>
      <c r="CO12" s="10">
        <f t="shared" si="30"/>
        <v>19409</v>
      </c>
      <c r="CP12" s="124">
        <v>31079</v>
      </c>
      <c r="CQ12" s="10">
        <v>1038</v>
      </c>
      <c r="CR12" s="10">
        <f t="shared" si="31"/>
        <v>3805</v>
      </c>
      <c r="CS12" s="10">
        <v>4843</v>
      </c>
    </row>
    <row r="13" spans="1:97" x14ac:dyDescent="0.25">
      <c r="A13" s="10" t="s">
        <v>166</v>
      </c>
      <c r="B13" s="10">
        <v>150</v>
      </c>
      <c r="C13" s="10">
        <f t="shared" si="0"/>
        <v>173</v>
      </c>
      <c r="D13" s="10">
        <v>323</v>
      </c>
      <c r="E13" s="10"/>
      <c r="F13" s="10">
        <f t="shared" si="1"/>
        <v>54</v>
      </c>
      <c r="G13" s="10">
        <v>54</v>
      </c>
      <c r="H13" s="10"/>
      <c r="I13" s="10">
        <f t="shared" si="2"/>
        <v>37824</v>
      </c>
      <c r="J13" s="10">
        <v>37824</v>
      </c>
      <c r="K13" s="10">
        <v>4882</v>
      </c>
      <c r="L13" s="10">
        <f t="shared" si="3"/>
        <v>43834</v>
      </c>
      <c r="M13" s="10">
        <v>48716</v>
      </c>
      <c r="N13" s="10">
        <v>1436</v>
      </c>
      <c r="O13" s="10">
        <f t="shared" si="4"/>
        <v>2927</v>
      </c>
      <c r="P13" s="10">
        <v>4363</v>
      </c>
      <c r="Q13" s="10"/>
      <c r="R13" s="10">
        <f t="shared" si="5"/>
        <v>216</v>
      </c>
      <c r="S13" s="10">
        <v>216</v>
      </c>
      <c r="T13" s="10">
        <v>3181</v>
      </c>
      <c r="U13" s="10">
        <f t="shared" si="32"/>
        <v>1730</v>
      </c>
      <c r="V13" s="10">
        <v>4911</v>
      </c>
      <c r="W13" s="10"/>
      <c r="X13" s="10">
        <f t="shared" si="7"/>
        <v>242</v>
      </c>
      <c r="Y13" s="10">
        <v>242</v>
      </c>
      <c r="Z13" s="10">
        <v>42</v>
      </c>
      <c r="AA13" s="10">
        <f t="shared" si="8"/>
        <v>67</v>
      </c>
      <c r="AB13" s="10">
        <v>109</v>
      </c>
      <c r="AC13" s="10">
        <v>753</v>
      </c>
      <c r="AD13" s="10">
        <f t="shared" si="9"/>
        <v>1277</v>
      </c>
      <c r="AE13" s="10">
        <v>2030</v>
      </c>
      <c r="AF13" s="10">
        <v>1339</v>
      </c>
      <c r="AG13" s="10">
        <f t="shared" si="10"/>
        <v>374</v>
      </c>
      <c r="AH13" s="10">
        <v>1713</v>
      </c>
      <c r="AI13" s="10">
        <v>3704</v>
      </c>
      <c r="AJ13" s="10">
        <f t="shared" si="11"/>
        <v>10267</v>
      </c>
      <c r="AK13" s="10">
        <v>13971</v>
      </c>
      <c r="AL13" s="10">
        <v>4296</v>
      </c>
      <c r="AM13" s="10">
        <f t="shared" si="12"/>
        <v>3927</v>
      </c>
      <c r="AN13" s="10">
        <v>8223</v>
      </c>
      <c r="AO13" s="10">
        <v>4255</v>
      </c>
      <c r="AP13" s="10">
        <f t="shared" si="13"/>
        <v>1587</v>
      </c>
      <c r="AQ13" s="10">
        <v>5842</v>
      </c>
      <c r="AR13" s="10">
        <v>152</v>
      </c>
      <c r="AS13" s="10">
        <f t="shared" si="14"/>
        <v>146</v>
      </c>
      <c r="AT13" s="10">
        <v>298</v>
      </c>
      <c r="AU13" s="10">
        <v>1545</v>
      </c>
      <c r="AV13" s="10">
        <f t="shared" si="15"/>
        <v>454</v>
      </c>
      <c r="AW13" s="10">
        <v>1999</v>
      </c>
      <c r="AX13" s="10">
        <v>1142</v>
      </c>
      <c r="AY13" s="10">
        <f t="shared" si="16"/>
        <v>202</v>
      </c>
      <c r="AZ13" s="10">
        <v>1344</v>
      </c>
      <c r="BA13" s="10"/>
      <c r="BB13" s="10">
        <f t="shared" si="17"/>
        <v>13</v>
      </c>
      <c r="BC13" s="10">
        <v>13</v>
      </c>
      <c r="BD13" s="10">
        <v>10645</v>
      </c>
      <c r="BE13" s="10">
        <f t="shared" si="18"/>
        <v>16228</v>
      </c>
      <c r="BF13" s="10">
        <v>26873</v>
      </c>
      <c r="BG13" s="10">
        <v>43</v>
      </c>
      <c r="BH13" s="10">
        <f t="shared" si="19"/>
        <v>37</v>
      </c>
      <c r="BI13" s="10">
        <v>80</v>
      </c>
      <c r="BJ13" s="10"/>
      <c r="BK13" s="10">
        <f t="shared" si="20"/>
        <v>0</v>
      </c>
      <c r="BL13" s="10"/>
      <c r="BM13" s="10">
        <v>108</v>
      </c>
      <c r="BN13" s="10">
        <f t="shared" si="21"/>
        <v>201</v>
      </c>
      <c r="BO13" s="10">
        <v>309</v>
      </c>
      <c r="BP13" s="10">
        <v>3486</v>
      </c>
      <c r="BQ13" s="10">
        <f t="shared" si="22"/>
        <v>5140</v>
      </c>
      <c r="BR13" s="10">
        <v>8626</v>
      </c>
      <c r="BS13" s="10">
        <v>2225</v>
      </c>
      <c r="BT13" s="10">
        <f t="shared" si="23"/>
        <v>1453</v>
      </c>
      <c r="BU13" s="10">
        <v>3678</v>
      </c>
      <c r="BV13" s="10">
        <v>1410</v>
      </c>
      <c r="BW13" s="10">
        <f t="shared" si="24"/>
        <v>5242</v>
      </c>
      <c r="BX13" s="10">
        <v>6652</v>
      </c>
      <c r="BY13" s="10">
        <v>3400</v>
      </c>
      <c r="BZ13" s="10">
        <f t="shared" si="25"/>
        <v>405</v>
      </c>
      <c r="CA13" s="10">
        <v>3805</v>
      </c>
      <c r="CB13" s="10"/>
      <c r="CC13" s="10">
        <f t="shared" si="26"/>
        <v>3935</v>
      </c>
      <c r="CD13" s="10">
        <v>3935</v>
      </c>
      <c r="CE13" s="10">
        <v>3114</v>
      </c>
      <c r="CF13" s="10">
        <f t="shared" si="27"/>
        <v>2350</v>
      </c>
      <c r="CG13" s="10">
        <v>5464</v>
      </c>
      <c r="CH13" s="10">
        <v>12345</v>
      </c>
      <c r="CI13" s="10">
        <f t="shared" si="28"/>
        <v>12954</v>
      </c>
      <c r="CJ13" s="10">
        <v>25299</v>
      </c>
      <c r="CK13" s="124">
        <v>11961</v>
      </c>
      <c r="CL13" s="10">
        <f t="shared" si="29"/>
        <v>8325</v>
      </c>
      <c r="CM13" s="124">
        <v>20286</v>
      </c>
      <c r="CN13" s="124">
        <v>15390</v>
      </c>
      <c r="CO13" s="10">
        <f t="shared" si="30"/>
        <v>10596</v>
      </c>
      <c r="CP13" s="124">
        <v>25986</v>
      </c>
      <c r="CQ13" s="10">
        <v>1220</v>
      </c>
      <c r="CR13" s="10">
        <f t="shared" si="31"/>
        <v>1721</v>
      </c>
      <c r="CS13" s="10">
        <v>2941</v>
      </c>
    </row>
    <row r="14" spans="1:97" x14ac:dyDescent="0.25">
      <c r="A14" s="10" t="s">
        <v>167</v>
      </c>
      <c r="B14" s="10">
        <v>132</v>
      </c>
      <c r="C14" s="10">
        <f t="shared" si="0"/>
        <v>134</v>
      </c>
      <c r="D14" s="10">
        <v>266</v>
      </c>
      <c r="E14" s="10"/>
      <c r="F14" s="10">
        <f t="shared" si="1"/>
        <v>16</v>
      </c>
      <c r="G14" s="10">
        <v>16</v>
      </c>
      <c r="H14" s="10"/>
      <c r="I14" s="10">
        <f t="shared" si="2"/>
        <v>1747826</v>
      </c>
      <c r="J14" s="10">
        <v>1747826</v>
      </c>
      <c r="K14" s="10">
        <v>42407</v>
      </c>
      <c r="L14" s="10">
        <f t="shared" si="3"/>
        <v>42053</v>
      </c>
      <c r="M14" s="10">
        <v>84460</v>
      </c>
      <c r="N14" s="10">
        <v>7993</v>
      </c>
      <c r="O14" s="10">
        <f t="shared" si="4"/>
        <v>2295</v>
      </c>
      <c r="P14" s="10">
        <v>10288</v>
      </c>
      <c r="Q14" s="10"/>
      <c r="R14" s="10">
        <f t="shared" si="5"/>
        <v>0</v>
      </c>
      <c r="S14" s="10"/>
      <c r="T14" s="10">
        <v>21790</v>
      </c>
      <c r="U14" s="10">
        <f t="shared" si="32"/>
        <v>13860</v>
      </c>
      <c r="V14" s="10">
        <v>35650</v>
      </c>
      <c r="W14" s="10"/>
      <c r="X14" s="10">
        <f t="shared" si="7"/>
        <v>120</v>
      </c>
      <c r="Y14" s="10">
        <v>120</v>
      </c>
      <c r="Z14" s="10">
        <v>106</v>
      </c>
      <c r="AA14" s="10">
        <f t="shared" si="8"/>
        <v>15</v>
      </c>
      <c r="AB14" s="10">
        <v>121</v>
      </c>
      <c r="AC14" s="10">
        <v>6622</v>
      </c>
      <c r="AD14" s="10">
        <f t="shared" si="9"/>
        <v>2039</v>
      </c>
      <c r="AE14" s="10">
        <v>8661</v>
      </c>
      <c r="AF14" s="10">
        <v>1634</v>
      </c>
      <c r="AG14" s="10">
        <f t="shared" si="10"/>
        <v>641</v>
      </c>
      <c r="AH14" s="10">
        <v>2275</v>
      </c>
      <c r="AI14" s="10">
        <v>27315</v>
      </c>
      <c r="AJ14" s="10">
        <f t="shared" si="11"/>
        <v>2669</v>
      </c>
      <c r="AK14" s="10">
        <v>29984</v>
      </c>
      <c r="AL14" s="10">
        <v>38580</v>
      </c>
      <c r="AM14" s="10">
        <f t="shared" si="12"/>
        <v>5009</v>
      </c>
      <c r="AN14" s="10">
        <v>43589</v>
      </c>
      <c r="AO14" s="10">
        <v>29766</v>
      </c>
      <c r="AP14" s="10">
        <f t="shared" si="13"/>
        <v>1007</v>
      </c>
      <c r="AQ14" s="10">
        <v>30773</v>
      </c>
      <c r="AR14" s="10">
        <v>593</v>
      </c>
      <c r="AS14" s="10">
        <f t="shared" si="14"/>
        <v>92</v>
      </c>
      <c r="AT14" s="10">
        <v>685</v>
      </c>
      <c r="AU14" s="10">
        <v>4394</v>
      </c>
      <c r="AV14" s="10">
        <f t="shared" si="15"/>
        <v>770</v>
      </c>
      <c r="AW14" s="10">
        <v>5164</v>
      </c>
      <c r="AX14" s="10">
        <v>5106</v>
      </c>
      <c r="AY14" s="10">
        <f t="shared" si="16"/>
        <v>450</v>
      </c>
      <c r="AZ14" s="10">
        <v>5556</v>
      </c>
      <c r="BA14" s="10"/>
      <c r="BB14" s="10">
        <f t="shared" si="17"/>
        <v>0</v>
      </c>
      <c r="BC14" s="10"/>
      <c r="BD14" s="10">
        <v>140155</v>
      </c>
      <c r="BE14" s="10">
        <f t="shared" si="18"/>
        <v>232868</v>
      </c>
      <c r="BF14" s="10">
        <v>373023</v>
      </c>
      <c r="BG14" s="10">
        <v>122</v>
      </c>
      <c r="BH14" s="10">
        <f t="shared" si="19"/>
        <v>14</v>
      </c>
      <c r="BI14" s="10">
        <v>136</v>
      </c>
      <c r="BJ14" s="10"/>
      <c r="BK14" s="10">
        <f t="shared" si="20"/>
        <v>0</v>
      </c>
      <c r="BL14" s="10"/>
      <c r="BM14" s="10">
        <v>423</v>
      </c>
      <c r="BN14" s="10">
        <f t="shared" si="21"/>
        <v>124</v>
      </c>
      <c r="BO14" s="10">
        <v>547</v>
      </c>
      <c r="BP14" s="10">
        <v>49838</v>
      </c>
      <c r="BQ14" s="10">
        <f t="shared" si="22"/>
        <v>13135</v>
      </c>
      <c r="BR14" s="10">
        <v>62973</v>
      </c>
      <c r="BS14" s="10">
        <v>17883</v>
      </c>
      <c r="BT14" s="10">
        <f t="shared" si="23"/>
        <v>2741</v>
      </c>
      <c r="BU14" s="10">
        <v>20624</v>
      </c>
      <c r="BV14" s="10">
        <v>5283</v>
      </c>
      <c r="BW14" s="10">
        <f t="shared" si="24"/>
        <v>4416</v>
      </c>
      <c r="BX14" s="10">
        <v>9699</v>
      </c>
      <c r="BY14" s="10">
        <v>36118</v>
      </c>
      <c r="BZ14" s="10">
        <f t="shared" si="25"/>
        <v>2913</v>
      </c>
      <c r="CA14" s="10">
        <v>39031</v>
      </c>
      <c r="CB14" s="10"/>
      <c r="CC14" s="10">
        <f t="shared" si="26"/>
        <v>1258</v>
      </c>
      <c r="CD14" s="10">
        <v>1258</v>
      </c>
      <c r="CE14" s="10">
        <v>17071</v>
      </c>
      <c r="CF14" s="10">
        <f t="shared" si="27"/>
        <v>3740</v>
      </c>
      <c r="CG14" s="10">
        <v>20811</v>
      </c>
      <c r="CH14" s="10">
        <v>137674</v>
      </c>
      <c r="CI14" s="10">
        <f t="shared" si="28"/>
        <v>21679</v>
      </c>
      <c r="CJ14" s="10">
        <v>159353</v>
      </c>
      <c r="CK14" s="124">
        <v>66574</v>
      </c>
      <c r="CL14" s="10">
        <f t="shared" si="29"/>
        <v>9431</v>
      </c>
      <c r="CM14" s="124">
        <v>76005</v>
      </c>
      <c r="CN14" s="124">
        <v>138358</v>
      </c>
      <c r="CO14" s="10">
        <f t="shared" si="30"/>
        <v>16662</v>
      </c>
      <c r="CP14" s="124">
        <v>155020</v>
      </c>
      <c r="CQ14" s="10">
        <v>7038</v>
      </c>
      <c r="CR14" s="10">
        <f t="shared" si="31"/>
        <v>938</v>
      </c>
      <c r="CS14" s="10">
        <v>7976</v>
      </c>
    </row>
  </sheetData>
  <mergeCells count="32">
    <mergeCell ref="CN3:CP3"/>
    <mergeCell ref="CQ3:CS3"/>
    <mergeCell ref="BV3:BX3"/>
    <mergeCell ref="BY3:CA3"/>
    <mergeCell ref="CB3:CD3"/>
    <mergeCell ref="CE3:CG3"/>
    <mergeCell ref="CH3:CJ3"/>
    <mergeCell ref="CK3:CM3"/>
    <mergeCell ref="BS3:BU3"/>
    <mergeCell ref="AC3:AE3"/>
    <mergeCell ref="AF3:AH3"/>
    <mergeCell ref="AL3:AN3"/>
    <mergeCell ref="AO3:AQ3"/>
    <mergeCell ref="AR3:AT3"/>
    <mergeCell ref="AU3:AW3"/>
    <mergeCell ref="AX3:AZ3"/>
    <mergeCell ref="BD3:BF3"/>
    <mergeCell ref="BG3:BI3"/>
    <mergeCell ref="BM3:BO3"/>
    <mergeCell ref="BP3:BR3"/>
    <mergeCell ref="AI3:AK3"/>
    <mergeCell ref="BA3:BC3"/>
    <mergeCell ref="BJ3:BL3"/>
    <mergeCell ref="Z3:AB3"/>
    <mergeCell ref="B3:D3"/>
    <mergeCell ref="E3:G3"/>
    <mergeCell ref="H3:J3"/>
    <mergeCell ref="K3:M3"/>
    <mergeCell ref="Q3:S3"/>
    <mergeCell ref="T3:V3"/>
    <mergeCell ref="W3:Y3"/>
    <mergeCell ref="N3:P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RowHeight="15" x14ac:dyDescent="0.25"/>
  <cols>
    <col min="1" max="1" width="39.28515625" customWidth="1"/>
    <col min="2" max="6" width="16" customWidth="1"/>
    <col min="7" max="7" width="16" style="52" customWidth="1"/>
    <col min="8" max="29" width="16" customWidth="1"/>
    <col min="30" max="30" width="16" style="52" customWidth="1"/>
    <col min="31" max="33" width="16" customWidth="1"/>
  </cols>
  <sheetData>
    <row r="1" spans="1:33" ht="18.75" x14ac:dyDescent="0.3">
      <c r="A1" s="23" t="s">
        <v>133</v>
      </c>
    </row>
    <row r="2" spans="1:33" x14ac:dyDescent="0.25">
      <c r="A2" s="1" t="s">
        <v>0</v>
      </c>
      <c r="B2" s="89" t="s">
        <v>1</v>
      </c>
      <c r="C2" s="89" t="s">
        <v>290</v>
      </c>
      <c r="D2" s="89" t="s">
        <v>3</v>
      </c>
      <c r="E2" s="89" t="s">
        <v>4</v>
      </c>
      <c r="F2" s="89" t="s">
        <v>5</v>
      </c>
      <c r="G2" s="91" t="s">
        <v>291</v>
      </c>
      <c r="H2" s="89" t="s">
        <v>292</v>
      </c>
      <c r="I2" s="89" t="s">
        <v>8</v>
      </c>
      <c r="J2" s="89" t="s">
        <v>7</v>
      </c>
      <c r="K2" s="89" t="s">
        <v>9</v>
      </c>
      <c r="L2" s="89" t="s">
        <v>288</v>
      </c>
      <c r="M2" s="89" t="s">
        <v>11</v>
      </c>
      <c r="N2" s="89" t="s">
        <v>12</v>
      </c>
      <c r="O2" s="89" t="s">
        <v>13</v>
      </c>
      <c r="P2" s="89" t="s">
        <v>14</v>
      </c>
      <c r="Q2" s="89" t="s">
        <v>15</v>
      </c>
      <c r="R2" s="89" t="s">
        <v>16</v>
      </c>
      <c r="S2" s="89" t="s">
        <v>293</v>
      </c>
      <c r="T2" s="92" t="s">
        <v>17</v>
      </c>
      <c r="U2" s="92" t="s">
        <v>294</v>
      </c>
      <c r="V2" s="92" t="s">
        <v>313</v>
      </c>
      <c r="W2" s="89" t="s">
        <v>289</v>
      </c>
      <c r="X2" s="89" t="s">
        <v>295</v>
      </c>
      <c r="Y2" s="89" t="s">
        <v>20</v>
      </c>
      <c r="Z2" s="89" t="s">
        <v>21</v>
      </c>
      <c r="AA2" s="89" t="s">
        <v>22</v>
      </c>
      <c r="AB2" s="89" t="s">
        <v>23</v>
      </c>
      <c r="AC2" s="89" t="s">
        <v>24</v>
      </c>
      <c r="AD2" s="97" t="s">
        <v>296</v>
      </c>
      <c r="AE2" s="88" t="s">
        <v>297</v>
      </c>
      <c r="AF2" s="88" t="s">
        <v>25</v>
      </c>
      <c r="AG2" s="89" t="s">
        <v>26</v>
      </c>
    </row>
    <row r="3" spans="1:33" x14ac:dyDescent="0.25">
      <c r="A3" s="15" t="s">
        <v>134</v>
      </c>
      <c r="B3" s="48">
        <v>2.0286</v>
      </c>
      <c r="C3" s="47">
        <v>0.5</v>
      </c>
      <c r="D3" s="48">
        <v>-0.372</v>
      </c>
      <c r="E3" s="48">
        <v>9.0999999999999998E-2</v>
      </c>
      <c r="F3" s="47">
        <v>-0.1</v>
      </c>
      <c r="G3" s="69">
        <v>0.54</v>
      </c>
      <c r="H3" s="48">
        <v>4.7399999999999998E-2</v>
      </c>
      <c r="I3" s="48">
        <v>0.1343</v>
      </c>
      <c r="J3" s="73">
        <v>0.67</v>
      </c>
      <c r="K3" s="47">
        <v>0.04</v>
      </c>
      <c r="L3" s="48">
        <v>0.94</v>
      </c>
      <c r="M3" s="47">
        <v>0.20250000000000001</v>
      </c>
      <c r="N3" s="47">
        <v>0.13</v>
      </c>
      <c r="O3" s="72">
        <v>5.6500000000000002E-2</v>
      </c>
      <c r="P3" s="47">
        <v>0.22</v>
      </c>
      <c r="Q3" s="47">
        <v>0.05</v>
      </c>
      <c r="R3" s="48">
        <v>0.38600000000000001</v>
      </c>
      <c r="S3" s="73">
        <v>0.48</v>
      </c>
      <c r="T3" s="48">
        <v>0.14586527078140427</v>
      </c>
      <c r="U3" s="48">
        <v>-0.27</v>
      </c>
      <c r="V3" s="48">
        <v>0.91</v>
      </c>
      <c r="W3" s="48">
        <v>1.4147000000000001</v>
      </c>
      <c r="X3" s="77">
        <v>0.11</v>
      </c>
      <c r="Y3" s="48">
        <v>0.06</v>
      </c>
      <c r="Z3" s="72">
        <v>-3.39E-2</v>
      </c>
      <c r="AA3" s="48">
        <v>-0.247</v>
      </c>
      <c r="AB3" s="48">
        <v>0.42009999999999997</v>
      </c>
      <c r="AC3" s="48">
        <v>0.15</v>
      </c>
      <c r="AD3" s="69">
        <v>19.12</v>
      </c>
      <c r="AE3" s="69">
        <v>12.14</v>
      </c>
      <c r="AF3" s="48">
        <v>-7.3099999999999998E-2</v>
      </c>
      <c r="AG3" s="48">
        <v>0.1958</v>
      </c>
    </row>
    <row r="4" spans="1:33" ht="15" customHeight="1" x14ac:dyDescent="0.25">
      <c r="A4" s="15" t="s">
        <v>135</v>
      </c>
      <c r="B4" s="38"/>
      <c r="C4" s="47">
        <v>0.93</v>
      </c>
      <c r="D4" s="38"/>
      <c r="E4" s="69">
        <v>0.33</v>
      </c>
      <c r="F4" s="38">
        <v>0.47</v>
      </c>
      <c r="G4" s="69"/>
      <c r="H4" s="38">
        <v>2.4500000000000002</v>
      </c>
      <c r="I4" s="38"/>
      <c r="J4" s="69">
        <v>0.54</v>
      </c>
      <c r="K4" s="38"/>
      <c r="L4" s="47">
        <v>0.67</v>
      </c>
      <c r="M4" s="38">
        <v>0.82</v>
      </c>
      <c r="N4" s="38">
        <v>0.49</v>
      </c>
      <c r="O4" s="38"/>
      <c r="P4" s="38"/>
      <c r="Q4" s="38">
        <v>0.4</v>
      </c>
      <c r="R4" s="38">
        <v>0.68</v>
      </c>
      <c r="S4" s="74"/>
      <c r="T4" s="48"/>
      <c r="U4" s="48"/>
      <c r="V4" s="38"/>
      <c r="W4" s="38">
        <v>0.48</v>
      </c>
      <c r="X4" s="38"/>
      <c r="Y4" s="38">
        <v>0.44</v>
      </c>
      <c r="Z4" s="48"/>
      <c r="AA4" s="38"/>
      <c r="AB4" s="38">
        <v>0.66</v>
      </c>
      <c r="AC4" s="38"/>
      <c r="AD4" s="69"/>
      <c r="AE4" s="69"/>
      <c r="AF4" s="69">
        <v>1.05</v>
      </c>
      <c r="AG4" s="48"/>
    </row>
    <row r="5" spans="1:33" ht="15" customHeight="1" x14ac:dyDescent="0.25">
      <c r="A5" s="15" t="s">
        <v>136</v>
      </c>
      <c r="B5" s="38">
        <v>0.81</v>
      </c>
      <c r="C5" s="47"/>
      <c r="D5" s="38">
        <v>0.04</v>
      </c>
      <c r="E5" s="38"/>
      <c r="F5" s="38"/>
      <c r="G5" s="69">
        <v>0.82</v>
      </c>
      <c r="H5" s="38"/>
      <c r="I5" s="69">
        <v>0.03</v>
      </c>
      <c r="J5" s="38"/>
      <c r="K5" s="38">
        <v>0.62</v>
      </c>
      <c r="L5" s="48"/>
      <c r="M5" s="38"/>
      <c r="N5" s="38"/>
      <c r="O5" s="38"/>
      <c r="P5" s="38">
        <v>0.64</v>
      </c>
      <c r="Q5" s="38"/>
      <c r="R5" s="38"/>
      <c r="S5" s="73">
        <v>0.95</v>
      </c>
      <c r="T5" s="69">
        <v>1297.304341201919</v>
      </c>
      <c r="U5" s="69">
        <v>0.03</v>
      </c>
      <c r="V5" s="93" t="s">
        <v>314</v>
      </c>
      <c r="X5" s="38">
        <v>0.96</v>
      </c>
      <c r="Y5" s="38"/>
      <c r="Z5" s="69">
        <v>0.41</v>
      </c>
      <c r="AA5" s="48">
        <v>0.1608</v>
      </c>
      <c r="AB5" s="38"/>
      <c r="AC5" s="38">
        <v>0.65</v>
      </c>
      <c r="AD5" s="69">
        <v>0.53</v>
      </c>
      <c r="AE5" s="69">
        <v>1.98</v>
      </c>
      <c r="AF5" s="48"/>
      <c r="AG5" s="38">
        <v>0.48</v>
      </c>
    </row>
    <row r="6" spans="1:33" x14ac:dyDescent="0.25">
      <c r="A6" s="15" t="s">
        <v>137</v>
      </c>
      <c r="B6" s="47">
        <v>0.06</v>
      </c>
      <c r="C6" s="38"/>
      <c r="D6" s="48">
        <v>0.12670000000000001</v>
      </c>
      <c r="E6" s="47"/>
      <c r="F6" s="38"/>
      <c r="G6" s="69">
        <v>-0.02</v>
      </c>
      <c r="H6" s="38"/>
      <c r="I6" s="48">
        <v>0.1542</v>
      </c>
      <c r="J6" s="47"/>
      <c r="K6" s="47">
        <v>0.12</v>
      </c>
      <c r="L6" s="38"/>
      <c r="M6" s="47"/>
      <c r="N6" s="38"/>
      <c r="O6" s="38"/>
      <c r="P6" s="47">
        <v>0.05</v>
      </c>
      <c r="Q6" s="38">
        <v>0.1</v>
      </c>
      <c r="R6" s="47"/>
      <c r="S6" s="74"/>
      <c r="T6" s="48">
        <v>1.0013999577177817</v>
      </c>
      <c r="U6" s="48">
        <v>-0.27</v>
      </c>
      <c r="V6" s="48">
        <v>0.48</v>
      </c>
      <c r="W6" s="38"/>
      <c r="X6" s="77">
        <v>0.04</v>
      </c>
      <c r="Y6" s="38"/>
      <c r="Z6" s="48">
        <v>0.19719999999999999</v>
      </c>
      <c r="AA6" s="48">
        <v>0.14940000000000001</v>
      </c>
      <c r="AB6" s="38"/>
      <c r="AC6" s="48">
        <v>0.08</v>
      </c>
      <c r="AD6" s="69"/>
      <c r="AE6" s="69">
        <v>308.72000000000003</v>
      </c>
      <c r="AF6" s="48"/>
      <c r="AG6" s="47"/>
    </row>
    <row r="7" spans="1:33" x14ac:dyDescent="0.25">
      <c r="A7" s="15" t="s">
        <v>138</v>
      </c>
      <c r="B7" s="38"/>
      <c r="C7" s="47">
        <v>0.39</v>
      </c>
      <c r="D7" s="38"/>
      <c r="E7" s="48">
        <v>0.18099999999999999</v>
      </c>
      <c r="F7" s="47">
        <v>0.15</v>
      </c>
      <c r="G7" s="69"/>
      <c r="H7" s="48">
        <v>0.1244</v>
      </c>
      <c r="I7" s="47"/>
      <c r="J7" s="48">
        <v>-5.0000000000000001E-4</v>
      </c>
      <c r="K7" s="38"/>
      <c r="L7" s="48">
        <v>0.02</v>
      </c>
      <c r="M7" s="48">
        <v>4.4699999999999997E-2</v>
      </c>
      <c r="N7" s="47">
        <v>0.02</v>
      </c>
      <c r="O7" s="48"/>
      <c r="P7" s="38"/>
      <c r="Q7" s="38"/>
      <c r="R7" s="48">
        <v>2.8000000000000001E-2</v>
      </c>
      <c r="S7" s="75">
        <v>0.19</v>
      </c>
      <c r="T7" s="48"/>
      <c r="U7" s="48"/>
      <c r="V7" s="38"/>
      <c r="W7" s="48">
        <v>0.34379999999999999</v>
      </c>
      <c r="X7" s="38"/>
      <c r="Y7" s="48">
        <v>0.05</v>
      </c>
      <c r="Z7" s="38"/>
      <c r="AA7" s="38"/>
      <c r="AB7" s="48">
        <v>0.60860000000000003</v>
      </c>
      <c r="AC7" s="48"/>
      <c r="AD7" s="69">
        <v>11.39</v>
      </c>
      <c r="AE7" s="69"/>
      <c r="AF7" s="48">
        <v>-0.14849999999999999</v>
      </c>
      <c r="AG7" s="48"/>
    </row>
    <row r="8" spans="1:33" x14ac:dyDescent="0.25">
      <c r="A8" s="15" t="s">
        <v>139</v>
      </c>
      <c r="B8" s="48">
        <v>0.63149999999999995</v>
      </c>
      <c r="C8" s="47">
        <v>0.77</v>
      </c>
      <c r="D8" s="48">
        <v>0.37740000000000001</v>
      </c>
      <c r="E8" s="48">
        <v>0.61499999999999999</v>
      </c>
      <c r="F8" s="47">
        <v>0.72</v>
      </c>
      <c r="G8" s="69">
        <v>0.79</v>
      </c>
      <c r="H8" s="48">
        <v>0.72619999999999996</v>
      </c>
      <c r="I8" s="48">
        <v>0.74019999999999997</v>
      </c>
      <c r="J8" s="47">
        <v>0.79</v>
      </c>
      <c r="K8" s="48">
        <v>0.71</v>
      </c>
      <c r="L8" s="48">
        <v>0.72809999999999997</v>
      </c>
      <c r="M8" s="48">
        <v>0.54049999999999998</v>
      </c>
      <c r="N8" s="47">
        <v>0.65</v>
      </c>
      <c r="O8" s="48">
        <v>0.6825</v>
      </c>
      <c r="P8" s="47">
        <v>0.77</v>
      </c>
      <c r="Q8" s="47">
        <v>0.72</v>
      </c>
      <c r="R8" s="48">
        <v>0.55900000000000005</v>
      </c>
      <c r="S8" s="75">
        <v>0.95</v>
      </c>
      <c r="T8" s="48">
        <v>0.88347938616173349</v>
      </c>
      <c r="U8" s="48">
        <v>0.82</v>
      </c>
      <c r="V8" s="48">
        <v>0.76</v>
      </c>
      <c r="W8" s="48">
        <v>0.79349999999999998</v>
      </c>
      <c r="X8" s="77">
        <v>0.53</v>
      </c>
      <c r="Y8" s="48">
        <v>0.64900000000000002</v>
      </c>
      <c r="Z8" s="48">
        <v>0.56920000000000004</v>
      </c>
      <c r="AA8" s="48">
        <v>0.91479999999999995</v>
      </c>
      <c r="AB8" s="48">
        <v>0.93799999999999994</v>
      </c>
      <c r="AC8" s="48">
        <v>0.62</v>
      </c>
      <c r="AD8" s="69">
        <v>76.78</v>
      </c>
      <c r="AE8" s="69">
        <v>79.22</v>
      </c>
      <c r="AF8" s="48">
        <v>0.80959999999999999</v>
      </c>
      <c r="AG8" s="48">
        <v>0.61050000000000004</v>
      </c>
    </row>
    <row r="9" spans="1:33" x14ac:dyDescent="0.25">
      <c r="A9" s="15" t="s">
        <v>140</v>
      </c>
      <c r="B9" s="48">
        <v>-2.4799999999999999E-2</v>
      </c>
      <c r="C9" s="47">
        <v>0</v>
      </c>
      <c r="D9" s="48">
        <v>1.9599999999999999E-2</v>
      </c>
      <c r="E9" s="48">
        <v>-3.3000000000000002E-2</v>
      </c>
      <c r="F9" s="47">
        <v>0.06</v>
      </c>
      <c r="G9" s="69">
        <v>0.02</v>
      </c>
      <c r="H9" s="48">
        <v>1.2999999999999999E-2</v>
      </c>
      <c r="I9" s="48">
        <v>-3.1899999999999998E-2</v>
      </c>
      <c r="J9" s="47">
        <v>0.06</v>
      </c>
      <c r="K9" s="48">
        <v>0.01</v>
      </c>
      <c r="L9" s="48">
        <v>3.0800000000000001E-2</v>
      </c>
      <c r="M9" s="48">
        <v>-4.0899999999999999E-2</v>
      </c>
      <c r="N9" s="47">
        <v>0.04</v>
      </c>
      <c r="O9" s="48">
        <v>6.6500000000000004E-2</v>
      </c>
      <c r="P9" s="47">
        <v>0.03</v>
      </c>
      <c r="Q9" s="47">
        <v>0.1</v>
      </c>
      <c r="R9" s="48">
        <v>-6.7000000000000004E-2</v>
      </c>
      <c r="S9" s="75">
        <v>0.1</v>
      </c>
      <c r="T9" s="48">
        <v>6.551084505474622E-2</v>
      </c>
      <c r="U9" s="48">
        <v>0.05</v>
      </c>
      <c r="V9" s="48">
        <v>0.03</v>
      </c>
      <c r="W9" s="48">
        <v>0.13969999999999999</v>
      </c>
      <c r="X9" s="77">
        <v>-0.01</v>
      </c>
      <c r="Y9" s="48">
        <v>3.5999999999999997E-2</v>
      </c>
      <c r="Z9" s="48">
        <v>5.2200000000000003E-2</v>
      </c>
      <c r="AA9" s="48">
        <v>5.5800000000000002E-2</v>
      </c>
      <c r="AB9" s="48">
        <v>0.13</v>
      </c>
      <c r="AC9" s="48">
        <v>0.03</v>
      </c>
      <c r="AD9" s="69">
        <v>6.7</v>
      </c>
      <c r="AE9" s="69">
        <v>6.52</v>
      </c>
      <c r="AF9" s="48">
        <v>6.1199999999999997E-2</v>
      </c>
      <c r="AG9" s="48">
        <v>9.9099999999999994E-2</v>
      </c>
    </row>
    <row r="10" spans="1:33" ht="30" x14ac:dyDescent="0.25">
      <c r="A10" s="15" t="s">
        <v>141</v>
      </c>
      <c r="B10" s="48">
        <v>0.67230000000000001</v>
      </c>
      <c r="C10" s="47">
        <v>0.52</v>
      </c>
      <c r="D10" s="48">
        <v>0.39329999999999998</v>
      </c>
      <c r="E10" s="48">
        <v>0.26800000000000002</v>
      </c>
      <c r="F10" s="47">
        <v>0.5</v>
      </c>
      <c r="G10" s="69">
        <v>0.41</v>
      </c>
      <c r="H10" s="48">
        <v>0.39219999999999999</v>
      </c>
      <c r="I10" s="48">
        <v>0.30399999999999999</v>
      </c>
      <c r="J10" s="47">
        <v>0.57999999999999996</v>
      </c>
      <c r="K10" s="48">
        <v>0.37</v>
      </c>
      <c r="L10" s="48">
        <v>0.32929999999999998</v>
      </c>
      <c r="M10" s="48">
        <v>0.29149999999999998</v>
      </c>
      <c r="N10" s="47">
        <v>0.25</v>
      </c>
      <c r="O10" s="48">
        <v>0.1953</v>
      </c>
      <c r="P10" s="47">
        <v>0.43</v>
      </c>
      <c r="Q10" s="47">
        <v>0.46</v>
      </c>
      <c r="R10" s="48">
        <v>0.38800000000000001</v>
      </c>
      <c r="S10" s="75">
        <v>0.47</v>
      </c>
      <c r="T10" s="48">
        <v>0.25437288298788319</v>
      </c>
      <c r="U10" s="48">
        <v>1.65</v>
      </c>
      <c r="V10" s="48">
        <v>0.42</v>
      </c>
      <c r="W10" s="48">
        <v>0.58499999999999996</v>
      </c>
      <c r="X10" s="77">
        <v>0.23</v>
      </c>
      <c r="Y10" s="48">
        <v>0.30399999999999999</v>
      </c>
      <c r="Z10" s="48">
        <v>0.31619999999999998</v>
      </c>
      <c r="AA10" s="48">
        <v>0.30609999999999998</v>
      </c>
      <c r="AB10" s="48">
        <v>0.29299999999999998</v>
      </c>
      <c r="AC10" s="48">
        <v>0.28999999999999998</v>
      </c>
      <c r="AD10" s="69">
        <v>18.010000000000002</v>
      </c>
      <c r="AE10" s="69">
        <v>29.75</v>
      </c>
      <c r="AF10" s="48">
        <v>0.28760000000000002</v>
      </c>
      <c r="AG10" s="48">
        <v>0.23069999999999999</v>
      </c>
    </row>
    <row r="11" spans="1:33" ht="30" x14ac:dyDescent="0.25">
      <c r="A11" s="15" t="s">
        <v>142</v>
      </c>
      <c r="B11" s="48">
        <v>1.0646</v>
      </c>
      <c r="C11" s="38"/>
      <c r="D11" s="48">
        <v>1.0421</v>
      </c>
      <c r="E11" s="48">
        <v>0.432</v>
      </c>
      <c r="F11" s="47">
        <v>0.69</v>
      </c>
      <c r="G11" s="69">
        <v>0.51</v>
      </c>
      <c r="H11" s="47"/>
      <c r="I11" s="48">
        <v>0.41070000000000001</v>
      </c>
      <c r="J11" s="47">
        <v>0.71</v>
      </c>
      <c r="K11" s="48">
        <v>0.51</v>
      </c>
      <c r="L11" s="48">
        <v>0.3579</v>
      </c>
      <c r="M11" s="48">
        <v>0.51839999999999997</v>
      </c>
      <c r="N11" s="47">
        <v>0.38</v>
      </c>
      <c r="O11" s="48">
        <v>0.28139999999999998</v>
      </c>
      <c r="P11" s="47">
        <v>0.55000000000000004</v>
      </c>
      <c r="Q11" s="47">
        <v>0.63</v>
      </c>
      <c r="R11" s="48">
        <v>0.63700000000000001</v>
      </c>
      <c r="S11" s="75"/>
      <c r="T11" s="48">
        <v>0.2834593539988739</v>
      </c>
      <c r="U11" s="48">
        <v>1.99</v>
      </c>
      <c r="V11" s="48">
        <v>0.56000000000000005</v>
      </c>
      <c r="W11" s="48">
        <v>0.66990000000000005</v>
      </c>
      <c r="X11" s="77">
        <v>0.43</v>
      </c>
      <c r="Y11" s="48">
        <v>0.437</v>
      </c>
      <c r="Z11" s="48">
        <v>0.55079999999999996</v>
      </c>
      <c r="AA11" s="48">
        <v>0.33360000000000001</v>
      </c>
      <c r="AB11" s="48">
        <v>0.30130000000000001</v>
      </c>
      <c r="AC11" s="48">
        <v>0.46</v>
      </c>
      <c r="AD11" s="69">
        <v>22.84</v>
      </c>
      <c r="AE11" s="69">
        <v>36.700000000000003</v>
      </c>
      <c r="AF11" s="48"/>
      <c r="AG11" s="47">
        <v>0.3775</v>
      </c>
    </row>
    <row r="12" spans="1:33" ht="15" customHeight="1" x14ac:dyDescent="0.25">
      <c r="A12" s="15" t="s">
        <v>143</v>
      </c>
      <c r="B12" s="48">
        <v>1.2611000000000001</v>
      </c>
      <c r="C12" s="38"/>
      <c r="D12" s="48">
        <v>1.1489</v>
      </c>
      <c r="E12" s="48">
        <v>0.75900000000000001</v>
      </c>
      <c r="F12" s="47">
        <v>0.72</v>
      </c>
      <c r="G12" s="69">
        <v>1.04</v>
      </c>
      <c r="H12" s="47"/>
      <c r="I12" s="48">
        <v>3.06</v>
      </c>
      <c r="J12" s="47">
        <v>1.23</v>
      </c>
      <c r="K12" s="48">
        <v>0.76</v>
      </c>
      <c r="L12" s="48">
        <v>0.76190000000000002</v>
      </c>
      <c r="M12" s="48">
        <v>0.95069999999999999</v>
      </c>
      <c r="N12" s="47">
        <v>0.91</v>
      </c>
      <c r="O12" s="48">
        <v>0.89439999999999997</v>
      </c>
      <c r="P12" s="47">
        <v>0.77</v>
      </c>
      <c r="Q12" s="47">
        <v>0.62</v>
      </c>
      <c r="R12" s="48">
        <v>0.75600000000000001</v>
      </c>
      <c r="S12" s="75"/>
      <c r="T12" s="48">
        <v>1.1694937537433849</v>
      </c>
      <c r="U12" s="48">
        <v>0.56000000000000005</v>
      </c>
      <c r="V12" s="48">
        <v>0.87</v>
      </c>
      <c r="W12" s="48">
        <v>0.91559999999999997</v>
      </c>
      <c r="X12" s="77">
        <v>0.8</v>
      </c>
      <c r="Y12" s="48">
        <v>0.86099999999999999</v>
      </c>
      <c r="Z12" s="48">
        <v>0.82640000000000002</v>
      </c>
      <c r="AA12" s="48">
        <v>0.8266</v>
      </c>
      <c r="AB12" s="48">
        <v>0.91010000000000002</v>
      </c>
      <c r="AC12" s="48">
        <v>0.77</v>
      </c>
      <c r="AD12" s="69">
        <v>92.91</v>
      </c>
      <c r="AE12" s="69">
        <v>116.75</v>
      </c>
      <c r="AF12" s="48"/>
      <c r="AG12" s="47">
        <v>0.68269999999999997</v>
      </c>
    </row>
    <row r="13" spans="1:33" ht="15" customHeight="1" x14ac:dyDescent="0.25">
      <c r="A13" s="15" t="s">
        <v>144</v>
      </c>
      <c r="B13" s="48">
        <v>2.2544</v>
      </c>
      <c r="C13" s="47">
        <v>1.53</v>
      </c>
      <c r="D13" s="48">
        <v>2.1215000000000002</v>
      </c>
      <c r="E13" s="48">
        <v>1.034</v>
      </c>
      <c r="F13" s="47">
        <v>1.35</v>
      </c>
      <c r="G13" s="69">
        <v>1.4</v>
      </c>
      <c r="H13" s="48">
        <v>1.2088000000000001</v>
      </c>
      <c r="I13" s="48">
        <v>3.4342000000000001</v>
      </c>
      <c r="J13" s="47">
        <v>1.89</v>
      </c>
      <c r="K13" s="48">
        <v>1.17</v>
      </c>
      <c r="L13" s="48">
        <v>1.079</v>
      </c>
      <c r="M13" s="48">
        <v>1.2495000000000001</v>
      </c>
      <c r="N13" s="47">
        <v>1.21</v>
      </c>
      <c r="O13" s="48">
        <v>1.1142000000000001</v>
      </c>
      <c r="P13" s="47">
        <v>1.26</v>
      </c>
      <c r="Q13" s="47">
        <v>1.21</v>
      </c>
      <c r="R13" s="48">
        <v>1.2150000000000001</v>
      </c>
      <c r="S13" s="75">
        <v>1.58</v>
      </c>
      <c r="T13" s="48">
        <v>1.4462821569261866</v>
      </c>
      <c r="U13" s="48">
        <v>2.56</v>
      </c>
      <c r="V13" s="48">
        <v>1.3</v>
      </c>
      <c r="W13" s="48">
        <v>1.5808</v>
      </c>
      <c r="X13" s="77">
        <v>1.1100000000000001</v>
      </c>
      <c r="Y13" s="48">
        <v>1.1830000000000001</v>
      </c>
      <c r="Z13" s="48">
        <v>1.2571000000000001</v>
      </c>
      <c r="AA13" s="48">
        <v>1.1536999999999999</v>
      </c>
      <c r="AB13" s="48">
        <v>1.2114</v>
      </c>
      <c r="AC13" s="48">
        <v>1.1000000000000001</v>
      </c>
      <c r="AD13" s="69">
        <v>113.96</v>
      </c>
      <c r="AE13" s="69">
        <v>151.87</v>
      </c>
      <c r="AF13" s="48">
        <v>1.373</v>
      </c>
      <c r="AG13" s="48">
        <v>1.0115000000000001</v>
      </c>
    </row>
    <row r="14" spans="1:33" ht="15" customHeight="1" x14ac:dyDescent="0.25">
      <c r="A14" s="15" t="s">
        <v>145</v>
      </c>
      <c r="B14" s="38">
        <v>2.9</v>
      </c>
      <c r="C14" s="47">
        <v>2.65</v>
      </c>
      <c r="D14" s="38">
        <v>92.7</v>
      </c>
      <c r="E14" s="38">
        <v>7.97</v>
      </c>
      <c r="F14" s="38">
        <v>11.43</v>
      </c>
      <c r="G14" s="69">
        <v>2.97</v>
      </c>
      <c r="H14" s="38">
        <v>15.21</v>
      </c>
      <c r="I14" s="69">
        <v>55.45</v>
      </c>
      <c r="J14" s="38">
        <v>5.49</v>
      </c>
      <c r="K14" s="38">
        <v>7.68</v>
      </c>
      <c r="L14" s="38">
        <v>5.75</v>
      </c>
      <c r="M14" s="69">
        <v>8.1999999999999993</v>
      </c>
      <c r="N14" s="38">
        <v>10.46</v>
      </c>
      <c r="O14" s="38"/>
      <c r="P14" s="38">
        <v>7.68</v>
      </c>
      <c r="Q14" s="38">
        <v>6.06</v>
      </c>
      <c r="R14" s="38">
        <v>12.31</v>
      </c>
      <c r="S14" s="75">
        <v>3.12</v>
      </c>
      <c r="T14" s="69">
        <v>9.6873915783806748</v>
      </c>
      <c r="U14" s="69">
        <v>45.7</v>
      </c>
      <c r="V14" s="93" t="s">
        <v>315</v>
      </c>
      <c r="W14" s="38">
        <v>6.61</v>
      </c>
      <c r="X14" s="38">
        <v>8.9499999999999993</v>
      </c>
      <c r="Y14" s="38">
        <v>12.45</v>
      </c>
      <c r="Z14" s="69">
        <v>9.36</v>
      </c>
      <c r="AA14" s="48">
        <v>26.873899999999999</v>
      </c>
      <c r="AB14" s="48">
        <v>3.097</v>
      </c>
      <c r="AC14" s="38">
        <v>8.2200000000000006</v>
      </c>
      <c r="AD14" s="69">
        <v>5.94</v>
      </c>
      <c r="AE14" s="69">
        <v>8.48</v>
      </c>
      <c r="AF14" s="69">
        <v>10.36</v>
      </c>
      <c r="AG14" s="48">
        <v>7.85</v>
      </c>
    </row>
    <row r="15" spans="1:33" x14ac:dyDescent="0.25">
      <c r="A15" s="15" t="s">
        <v>146</v>
      </c>
      <c r="B15" s="38">
        <v>-1.76</v>
      </c>
      <c r="C15" s="47">
        <v>-0.63</v>
      </c>
      <c r="D15" s="38">
        <v>-0.11</v>
      </c>
      <c r="E15" s="38">
        <v>0.01</v>
      </c>
      <c r="F15" s="38">
        <v>-0.19</v>
      </c>
      <c r="G15" s="69">
        <v>-0.5</v>
      </c>
      <c r="H15" s="38">
        <v>-0.12</v>
      </c>
      <c r="I15" s="48">
        <v>-1.6341000000000001</v>
      </c>
      <c r="J15" s="38">
        <v>-0.72</v>
      </c>
      <c r="K15" s="38">
        <v>-0.16</v>
      </c>
      <c r="L15" s="38">
        <v>-0.1</v>
      </c>
      <c r="M15" s="69">
        <v>-0.21</v>
      </c>
      <c r="N15" s="38">
        <v>-0.19</v>
      </c>
      <c r="O15" s="48">
        <v>-0.1081</v>
      </c>
      <c r="P15" s="38">
        <v>-0.17</v>
      </c>
      <c r="Q15" s="38">
        <v>-0.09</v>
      </c>
      <c r="R15" s="38">
        <v>-0.17</v>
      </c>
      <c r="S15" s="75">
        <v>-0.67</v>
      </c>
      <c r="T15" s="69">
        <v>-0.44771897695513035</v>
      </c>
      <c r="U15" s="69">
        <v>-0.19</v>
      </c>
      <c r="V15" s="93" t="s">
        <v>316</v>
      </c>
      <c r="W15" s="38">
        <v>-0.66</v>
      </c>
      <c r="X15" s="38">
        <v>-0.13</v>
      </c>
      <c r="Y15" s="38">
        <v>-0.13</v>
      </c>
      <c r="Z15" s="69">
        <v>-0.13</v>
      </c>
      <c r="AA15" s="48">
        <v>-3.9199999999999999E-2</v>
      </c>
      <c r="AB15" s="48">
        <v>-0.1855</v>
      </c>
      <c r="AC15" s="38">
        <v>-7.0000000000000007E-2</v>
      </c>
      <c r="AD15" s="69">
        <v>-0.15</v>
      </c>
      <c r="AE15" s="69">
        <v>-0.41</v>
      </c>
      <c r="AF15" s="69">
        <v>-0.37</v>
      </c>
      <c r="AG15" s="48">
        <v>-0.03</v>
      </c>
    </row>
    <row r="16" spans="1:33" x14ac:dyDescent="0.25">
      <c r="A16" s="15" t="s">
        <v>147</v>
      </c>
      <c r="B16" s="48">
        <v>-1.6783999999999999</v>
      </c>
      <c r="C16" s="47">
        <v>-0.56000000000000005</v>
      </c>
      <c r="D16" s="48">
        <v>0.15440000000000001</v>
      </c>
      <c r="E16" s="48">
        <v>0.21</v>
      </c>
      <c r="F16" s="47">
        <v>0.14000000000000001</v>
      </c>
      <c r="G16" s="69">
        <v>-0.44</v>
      </c>
      <c r="H16" s="48">
        <v>0.1527</v>
      </c>
      <c r="I16" s="48">
        <v>-0.56340000000000001</v>
      </c>
      <c r="J16" s="47">
        <v>-0.63</v>
      </c>
      <c r="K16" s="48">
        <v>0</v>
      </c>
      <c r="L16" s="48">
        <v>8.8999999999999999E-3</v>
      </c>
      <c r="M16" s="48">
        <v>-5.11E-2</v>
      </c>
      <c r="N16" s="47">
        <v>0.01</v>
      </c>
      <c r="O16" s="48">
        <v>8.6E-3</v>
      </c>
      <c r="P16" s="47">
        <v>-7.0000000000000007E-2</v>
      </c>
      <c r="Q16" s="47">
        <v>0.04</v>
      </c>
      <c r="R16" s="48">
        <v>6.6000000000000003E-2</v>
      </c>
      <c r="S16" s="75">
        <v>-0.61</v>
      </c>
      <c r="T16" s="48">
        <v>-0.23053356416636486</v>
      </c>
      <c r="U16" s="48">
        <v>0.31</v>
      </c>
      <c r="V16" s="94">
        <v>-0.28000000000000003</v>
      </c>
      <c r="W16" s="48">
        <v>-0.28439999999999999</v>
      </c>
      <c r="X16" s="77">
        <v>0.08</v>
      </c>
      <c r="Y16" s="48">
        <v>0.107</v>
      </c>
      <c r="Z16" s="48">
        <v>4.2099999999999999E-2</v>
      </c>
      <c r="AA16" s="48">
        <v>0.34570000000000001</v>
      </c>
      <c r="AB16" s="48">
        <v>-0.15959999999999999</v>
      </c>
      <c r="AC16" s="48">
        <v>0.16</v>
      </c>
      <c r="AD16" s="69">
        <v>-2.7</v>
      </c>
      <c r="AE16" s="69">
        <v>-23.93</v>
      </c>
      <c r="AF16" s="48">
        <v>-0.2112</v>
      </c>
      <c r="AG16" s="48">
        <v>0.1585</v>
      </c>
    </row>
    <row r="17" spans="1:33" x14ac:dyDescent="0.25">
      <c r="A17" s="15" t="s">
        <v>148</v>
      </c>
      <c r="B17" s="38">
        <v>0.28000000000000003</v>
      </c>
      <c r="C17" s="47">
        <v>0.08</v>
      </c>
      <c r="D17" s="38">
        <v>0.43</v>
      </c>
      <c r="E17" s="38">
        <v>0.16</v>
      </c>
      <c r="F17" s="38">
        <v>0.28000000000000003</v>
      </c>
      <c r="G17" s="69">
        <v>0.27</v>
      </c>
      <c r="H17" s="38">
        <v>0.2</v>
      </c>
      <c r="I17" s="69">
        <v>0.37</v>
      </c>
      <c r="J17" s="38">
        <v>0.6</v>
      </c>
      <c r="K17" s="48">
        <v>0.11</v>
      </c>
      <c r="L17" s="48">
        <v>0.40860000000000002</v>
      </c>
      <c r="M17" s="69">
        <v>0.25</v>
      </c>
      <c r="N17" s="38">
        <v>0.16</v>
      </c>
      <c r="O17" s="38"/>
      <c r="P17" s="38">
        <v>0.15</v>
      </c>
      <c r="Q17" s="38">
        <v>0.22</v>
      </c>
      <c r="R17" s="38">
        <v>0.16</v>
      </c>
      <c r="S17" s="75">
        <v>0.51</v>
      </c>
      <c r="T17" s="69">
        <v>0.15053942681333574</v>
      </c>
      <c r="U17" s="69">
        <v>0.7</v>
      </c>
      <c r="V17" s="93" t="s">
        <v>317</v>
      </c>
      <c r="W17" s="38">
        <v>0.37</v>
      </c>
      <c r="X17" s="38">
        <v>0.33</v>
      </c>
      <c r="Y17" s="38">
        <v>0.26</v>
      </c>
      <c r="Z17" s="69">
        <v>0.08</v>
      </c>
      <c r="AA17" s="48">
        <v>2.9600000000000001E-2</v>
      </c>
      <c r="AB17" s="48">
        <v>0.14829999999999999</v>
      </c>
      <c r="AC17" s="38">
        <v>0.21</v>
      </c>
      <c r="AD17" s="69">
        <v>0.28999999999999998</v>
      </c>
      <c r="AE17" s="69">
        <v>0.23</v>
      </c>
      <c r="AF17" s="69">
        <v>0.2</v>
      </c>
      <c r="AG17" s="48">
        <v>0.41</v>
      </c>
    </row>
    <row r="18" spans="1:33" x14ac:dyDescent="0.25">
      <c r="A18" s="15" t="s">
        <v>149</v>
      </c>
      <c r="B18" s="48">
        <v>-1.0993999999999999</v>
      </c>
      <c r="C18" s="47">
        <v>-0.14000000000000001</v>
      </c>
      <c r="D18" s="48">
        <v>0</v>
      </c>
      <c r="E18" s="48">
        <v>0.23599999999999999</v>
      </c>
      <c r="F18" s="47">
        <v>0.24</v>
      </c>
      <c r="G18" s="69">
        <v>-0.24</v>
      </c>
      <c r="H18" s="47">
        <v>0</v>
      </c>
      <c r="I18" s="48">
        <v>0.26979999999999998</v>
      </c>
      <c r="J18" s="47">
        <v>-0.6</v>
      </c>
      <c r="K18" s="48">
        <v>0.02</v>
      </c>
      <c r="L18" s="48">
        <v>3.7100000000000001E-2</v>
      </c>
      <c r="M18" s="48">
        <v>-2.6499999999999999E-2</v>
      </c>
      <c r="N18" s="47">
        <v>0.06</v>
      </c>
      <c r="O18" s="48">
        <v>3.9699999999999999E-2</v>
      </c>
      <c r="P18" s="47">
        <v>-0.05</v>
      </c>
      <c r="Q18" s="47">
        <v>0.08</v>
      </c>
      <c r="R18" s="48">
        <v>6.5000000000000002E-2</v>
      </c>
      <c r="S18" s="75">
        <v>-0.49</v>
      </c>
      <c r="T18" s="48">
        <v>-0.2194719811793531</v>
      </c>
      <c r="U18" s="48">
        <v>1.74</v>
      </c>
      <c r="V18" s="94">
        <v>-0.28000000000000003</v>
      </c>
      <c r="W18" s="48">
        <v>-0.43990000000000001</v>
      </c>
      <c r="X18" s="77">
        <v>7.0000000000000007E-2</v>
      </c>
      <c r="Y18" s="48">
        <v>0.14099999999999999</v>
      </c>
      <c r="Z18" s="48">
        <v>0.1134</v>
      </c>
      <c r="AA18" s="48">
        <v>0.45340000000000003</v>
      </c>
      <c r="AB18" s="48">
        <v>-0.1023</v>
      </c>
      <c r="AC18" s="48">
        <v>0.17</v>
      </c>
      <c r="AD18" s="69">
        <v>1.2</v>
      </c>
      <c r="AE18" s="69">
        <v>-22.93</v>
      </c>
      <c r="AF18" s="48">
        <v>-0.20150000000000001</v>
      </c>
      <c r="AG18" s="48">
        <v>0.1203</v>
      </c>
    </row>
    <row r="19" spans="1:33" x14ac:dyDescent="0.25">
      <c r="A19" s="15" t="s">
        <v>150</v>
      </c>
      <c r="B19" s="48">
        <v>-0.55989999999999995</v>
      </c>
      <c r="C19" s="47">
        <v>-0.1</v>
      </c>
      <c r="D19" s="48">
        <v>2.69E-2</v>
      </c>
      <c r="E19" s="48">
        <v>4.8000000000000001E-2</v>
      </c>
      <c r="F19" s="47">
        <v>0.08</v>
      </c>
      <c r="G19" s="69">
        <v>-0.16</v>
      </c>
      <c r="H19" s="48">
        <v>9.6600000000000005E-2</v>
      </c>
      <c r="I19" s="48">
        <v>6.0000000000000001E-3</v>
      </c>
      <c r="J19" s="47">
        <v>-0.27</v>
      </c>
      <c r="K19" s="48">
        <v>0.01</v>
      </c>
      <c r="L19" s="48">
        <v>2.1499999999999998E-2</v>
      </c>
      <c r="M19" s="48">
        <v>-1.2200000000000001E-2</v>
      </c>
      <c r="N19" s="47">
        <v>0.02</v>
      </c>
      <c r="O19" s="48"/>
      <c r="P19" s="47">
        <v>-0.03</v>
      </c>
      <c r="Q19" s="47">
        <v>0.03</v>
      </c>
      <c r="R19" s="48">
        <v>2.7E-2</v>
      </c>
      <c r="S19" s="75">
        <v>-0.44</v>
      </c>
      <c r="T19" s="48">
        <v>-255.50592441574406</v>
      </c>
      <c r="U19" s="48">
        <v>0.04</v>
      </c>
      <c r="V19" s="94">
        <v>-0.23</v>
      </c>
      <c r="W19" s="48">
        <v>-0.18479999999999999</v>
      </c>
      <c r="X19" s="77">
        <v>0.04</v>
      </c>
      <c r="Y19" s="48">
        <v>4.2999999999999997E-2</v>
      </c>
      <c r="Z19" s="48">
        <v>2.7E-2</v>
      </c>
      <c r="AA19" s="48">
        <v>6.6900000000000001E-2</v>
      </c>
      <c r="AB19" s="48">
        <v>-6.3600000000000004E-2</v>
      </c>
      <c r="AC19" s="48">
        <v>7.0000000000000007E-2</v>
      </c>
      <c r="AD19" s="69">
        <v>2.09</v>
      </c>
      <c r="AE19" s="69">
        <v>-36.83</v>
      </c>
      <c r="AF19" s="48">
        <v>-0.1744</v>
      </c>
      <c r="AG19" s="47">
        <v>3.5000000000000003E-2</v>
      </c>
    </row>
    <row r="20" spans="1:33" ht="30" x14ac:dyDescent="0.25">
      <c r="A20" s="15" t="s">
        <v>151</v>
      </c>
      <c r="B20" s="38">
        <v>2.31</v>
      </c>
      <c r="C20" s="38">
        <v>1.61</v>
      </c>
      <c r="D20" s="38">
        <v>1.88</v>
      </c>
      <c r="E20" s="69">
        <v>3.4</v>
      </c>
      <c r="F20" s="38">
        <v>1.51</v>
      </c>
      <c r="G20" s="69">
        <v>1.81</v>
      </c>
      <c r="H20" s="38">
        <v>1.786</v>
      </c>
      <c r="I20" s="69">
        <v>21.66</v>
      </c>
      <c r="J20" s="38">
        <v>1.83</v>
      </c>
      <c r="K20" s="38">
        <v>1.56</v>
      </c>
      <c r="L20" s="38">
        <v>1.81</v>
      </c>
      <c r="M20" s="38">
        <v>1.69</v>
      </c>
      <c r="N20" s="38">
        <v>2.76</v>
      </c>
      <c r="O20" s="38">
        <v>1.63</v>
      </c>
      <c r="P20" s="38">
        <v>1.75</v>
      </c>
      <c r="Q20" s="38">
        <v>2.81</v>
      </c>
      <c r="R20" s="38">
        <v>1.82</v>
      </c>
      <c r="S20" s="75">
        <v>1.65</v>
      </c>
      <c r="T20" s="48"/>
      <c r="U20" s="69">
        <v>2.2799999999999998</v>
      </c>
      <c r="V20" s="95" t="s">
        <v>318</v>
      </c>
      <c r="W20" s="38">
        <v>2.59</v>
      </c>
      <c r="X20" s="38">
        <v>1.65</v>
      </c>
      <c r="Y20" s="38">
        <v>1.97</v>
      </c>
      <c r="Z20" s="69">
        <v>2.1</v>
      </c>
      <c r="AA20" s="38">
        <v>3.63</v>
      </c>
      <c r="AB20" s="38">
        <v>1.65</v>
      </c>
      <c r="AC20" s="38">
        <v>2.3199999999999998</v>
      </c>
      <c r="AD20" s="69">
        <v>2</v>
      </c>
      <c r="AE20" s="69">
        <v>1.54</v>
      </c>
      <c r="AF20" s="69">
        <v>0.83</v>
      </c>
      <c r="AG20" s="38">
        <v>2.0699999999999998</v>
      </c>
    </row>
    <row r="21" spans="1:33" x14ac:dyDescent="0.25">
      <c r="A21" s="15" t="s">
        <v>152</v>
      </c>
      <c r="B21" s="38"/>
      <c r="C21" s="38"/>
      <c r="D21" s="48">
        <v>3.8E-3</v>
      </c>
      <c r="E21" s="38"/>
      <c r="F21" s="38"/>
      <c r="G21" s="69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74"/>
      <c r="T21" s="48"/>
      <c r="U21" s="48"/>
      <c r="V21" s="95"/>
      <c r="W21" s="38"/>
      <c r="X21" s="38"/>
      <c r="Y21" s="38"/>
      <c r="Z21" s="38"/>
      <c r="AA21" s="38"/>
      <c r="AC21" s="38"/>
      <c r="AD21" s="69"/>
      <c r="AE21" s="69"/>
      <c r="AF21" s="38"/>
      <c r="AG21" s="38"/>
    </row>
    <row r="22" spans="1:33" x14ac:dyDescent="0.25">
      <c r="A22" s="15" t="s">
        <v>153</v>
      </c>
      <c r="B22" s="48"/>
      <c r="C22" s="38"/>
      <c r="D22" s="38"/>
      <c r="E22" s="48">
        <v>7.4999999999999997E-3</v>
      </c>
      <c r="F22" s="48">
        <v>3.4599999999999999E-2</v>
      </c>
      <c r="G22" s="69"/>
      <c r="H22" s="48">
        <v>1.4500000000000001E-2</v>
      </c>
      <c r="I22" s="38"/>
      <c r="J22" s="38"/>
      <c r="K22" s="38">
        <v>0.88</v>
      </c>
      <c r="L22" s="38"/>
      <c r="M22" s="38"/>
      <c r="N22" s="38"/>
      <c r="O22" s="38"/>
      <c r="P22" s="38"/>
      <c r="Q22" s="38"/>
      <c r="R22" s="48"/>
      <c r="S22" s="74"/>
      <c r="T22" s="48"/>
      <c r="U22" s="48"/>
      <c r="V22" s="49"/>
      <c r="W22" s="38"/>
      <c r="X22" s="49">
        <v>1.2200000000000001E-2</v>
      </c>
      <c r="Y22" s="48">
        <v>1.4999999999999999E-2</v>
      </c>
      <c r="Z22" s="49"/>
      <c r="AA22" s="38"/>
      <c r="AB22" s="48"/>
      <c r="AC22" s="38"/>
      <c r="AD22" s="69"/>
      <c r="AE22" s="69"/>
      <c r="AF22" s="38"/>
      <c r="AG22" s="48"/>
    </row>
    <row r="23" spans="1:33" x14ac:dyDescent="0.25">
      <c r="A23" s="15" t="s">
        <v>154</v>
      </c>
      <c r="B23" s="48"/>
      <c r="C23" s="38"/>
      <c r="D23" s="38"/>
      <c r="E23" s="48">
        <v>1.2999999999999999E-3</v>
      </c>
      <c r="F23" s="48">
        <v>1.0500000000000001E-2</v>
      </c>
      <c r="G23" s="69"/>
      <c r="H23" s="48">
        <v>6.4000000000000003E-3</v>
      </c>
      <c r="I23" s="38"/>
      <c r="J23" s="38"/>
      <c r="K23" s="38"/>
      <c r="L23" s="38"/>
      <c r="M23" s="38"/>
      <c r="N23" s="38"/>
      <c r="O23" s="38"/>
      <c r="P23" s="38"/>
      <c r="Q23" s="38"/>
      <c r="R23" s="48"/>
      <c r="S23" s="74"/>
      <c r="T23" s="48"/>
      <c r="U23" s="48"/>
      <c r="V23" s="49"/>
      <c r="W23" s="38"/>
      <c r="X23" s="49">
        <v>7.4000000000000003E-3</v>
      </c>
      <c r="Y23" s="48">
        <v>8.9999999999999993E-3</v>
      </c>
      <c r="Z23" s="49"/>
      <c r="AA23" s="38"/>
      <c r="AB23" s="48"/>
      <c r="AC23" s="38"/>
      <c r="AD23" s="69"/>
      <c r="AE23" s="69"/>
      <c r="AF23" s="38"/>
      <c r="AG23" s="48">
        <v>2E-3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7.42578125" style="7" customWidth="1"/>
    <col min="2" max="33" width="16" style="7" customWidth="1"/>
    <col min="34" max="16384" width="9.140625" style="7"/>
  </cols>
  <sheetData>
    <row r="1" spans="1:33" ht="18.75" x14ac:dyDescent="0.3">
      <c r="A1" s="9" t="s">
        <v>299</v>
      </c>
    </row>
    <row r="2" spans="1:33" x14ac:dyDescent="0.25">
      <c r="A2" s="7" t="s">
        <v>106</v>
      </c>
    </row>
    <row r="3" spans="1:33" x14ac:dyDescent="0.25">
      <c r="A3" s="1" t="s">
        <v>0</v>
      </c>
      <c r="B3" s="89" t="s">
        <v>1</v>
      </c>
      <c r="C3" s="89" t="s">
        <v>290</v>
      </c>
      <c r="D3" s="89" t="s">
        <v>3</v>
      </c>
      <c r="E3" s="89" t="s">
        <v>4</v>
      </c>
      <c r="F3" s="89" t="s">
        <v>5</v>
      </c>
      <c r="G3" s="89" t="s">
        <v>291</v>
      </c>
      <c r="H3" s="89" t="s">
        <v>292</v>
      </c>
      <c r="I3" s="89" t="s">
        <v>8</v>
      </c>
      <c r="J3" s="89" t="s">
        <v>7</v>
      </c>
      <c r="K3" s="89" t="s">
        <v>9</v>
      </c>
      <c r="L3" s="89" t="s">
        <v>288</v>
      </c>
      <c r="M3" s="89" t="s">
        <v>11</v>
      </c>
      <c r="N3" s="89" t="s">
        <v>12</v>
      </c>
      <c r="O3" s="89" t="s">
        <v>13</v>
      </c>
      <c r="P3" s="89" t="s">
        <v>14</v>
      </c>
      <c r="Q3" s="89" t="s">
        <v>15</v>
      </c>
      <c r="R3" s="89" t="s">
        <v>16</v>
      </c>
      <c r="S3" s="89" t="s">
        <v>293</v>
      </c>
      <c r="T3" s="92" t="s">
        <v>17</v>
      </c>
      <c r="U3" s="92" t="s">
        <v>294</v>
      </c>
      <c r="V3" s="92" t="s">
        <v>313</v>
      </c>
      <c r="W3" s="89" t="s">
        <v>289</v>
      </c>
      <c r="X3" s="89" t="s">
        <v>295</v>
      </c>
      <c r="Y3" s="89" t="s">
        <v>20</v>
      </c>
      <c r="Z3" s="89" t="s">
        <v>21</v>
      </c>
      <c r="AA3" s="89" t="s">
        <v>22</v>
      </c>
      <c r="AB3" s="89" t="s">
        <v>23</v>
      </c>
      <c r="AC3" s="89" t="s">
        <v>24</v>
      </c>
      <c r="AD3" s="88" t="s">
        <v>296</v>
      </c>
      <c r="AE3" s="88" t="s">
        <v>297</v>
      </c>
      <c r="AF3" s="88" t="s">
        <v>25</v>
      </c>
      <c r="AG3" s="89" t="s">
        <v>26</v>
      </c>
    </row>
    <row r="4" spans="1:33" ht="15" customHeight="1" x14ac:dyDescent="0.25">
      <c r="A4" s="2" t="s">
        <v>107</v>
      </c>
      <c r="B4" s="10">
        <v>45294</v>
      </c>
      <c r="C4" s="10">
        <v>116042.53</v>
      </c>
      <c r="D4" s="10">
        <v>2031075.79</v>
      </c>
      <c r="E4" s="10">
        <v>1897420</v>
      </c>
      <c r="F4" s="10">
        <v>505062</v>
      </c>
      <c r="G4" s="10">
        <v>192432</v>
      </c>
      <c r="H4" s="10">
        <v>1043358</v>
      </c>
      <c r="I4" s="69">
        <v>825657.71</v>
      </c>
      <c r="J4" s="10">
        <v>35311</v>
      </c>
      <c r="K4" s="10">
        <v>483915</v>
      </c>
      <c r="L4" s="10">
        <v>531125</v>
      </c>
      <c r="M4" s="10">
        <v>1481102</v>
      </c>
      <c r="N4" s="10">
        <v>3148214</v>
      </c>
      <c r="O4" s="10">
        <v>1001036.1</v>
      </c>
      <c r="P4" s="10">
        <v>76204</v>
      </c>
      <c r="Q4" s="10">
        <v>241813</v>
      </c>
      <c r="R4" s="10">
        <v>282813</v>
      </c>
      <c r="S4" s="10">
        <v>60636.28</v>
      </c>
      <c r="T4" s="10"/>
      <c r="U4" s="10">
        <v>41450</v>
      </c>
      <c r="V4" s="10">
        <v>113645</v>
      </c>
      <c r="W4" s="10">
        <v>56228</v>
      </c>
      <c r="X4" s="10">
        <v>1239898</v>
      </c>
      <c r="Y4" s="10">
        <v>582209</v>
      </c>
      <c r="Z4" s="10">
        <v>738183</v>
      </c>
      <c r="AA4" s="10">
        <v>894730</v>
      </c>
      <c r="AB4" s="10">
        <v>659661</v>
      </c>
      <c r="AC4" s="10">
        <v>1414752</v>
      </c>
      <c r="AD4" s="10">
        <v>4882761.18</v>
      </c>
      <c r="AE4" s="10">
        <v>3233233</v>
      </c>
      <c r="AF4" s="10">
        <v>3678734.99</v>
      </c>
      <c r="AG4" s="69">
        <v>363205</v>
      </c>
    </row>
    <row r="5" spans="1:33" ht="15" customHeight="1" x14ac:dyDescent="0.25">
      <c r="A5" s="2" t="s">
        <v>108</v>
      </c>
      <c r="B5" s="10"/>
      <c r="C5" s="10"/>
      <c r="D5" s="10"/>
      <c r="E5" s="10"/>
      <c r="F5" s="10"/>
      <c r="G5" s="10"/>
      <c r="H5" s="10"/>
      <c r="I5" s="69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69"/>
    </row>
    <row r="6" spans="1:33" ht="15" customHeight="1" x14ac:dyDescent="0.25">
      <c r="A6" s="2" t="s">
        <v>109</v>
      </c>
      <c r="B6" s="10">
        <v>31158</v>
      </c>
      <c r="C6" s="10">
        <v>74678.289999999994</v>
      </c>
      <c r="D6" s="10">
        <v>724383.27</v>
      </c>
      <c r="E6" s="10">
        <v>1447416</v>
      </c>
      <c r="F6" s="10">
        <v>377410</v>
      </c>
      <c r="G6" s="10">
        <v>177071</v>
      </c>
      <c r="H6" s="10">
        <v>674082</v>
      </c>
      <c r="I6" s="69">
        <v>794118.03</v>
      </c>
      <c r="J6" s="10">
        <v>27358</v>
      </c>
      <c r="K6" s="10"/>
      <c r="L6" s="10"/>
      <c r="M6" s="10"/>
      <c r="N6" s="10"/>
      <c r="O6" s="10"/>
      <c r="P6" s="10"/>
      <c r="Q6" s="10">
        <v>184959</v>
      </c>
      <c r="R6" s="10"/>
      <c r="S6" s="10"/>
      <c r="T6" s="10"/>
      <c r="U6" s="10">
        <v>29314</v>
      </c>
      <c r="V6" s="10">
        <v>78037</v>
      </c>
      <c r="W6" s="10"/>
      <c r="X6" s="10">
        <v>995177</v>
      </c>
      <c r="Y6" s="10"/>
      <c r="Z6" s="10"/>
      <c r="AA6" s="10">
        <v>849152</v>
      </c>
      <c r="AB6" s="10"/>
      <c r="AC6" s="10">
        <v>1102634</v>
      </c>
      <c r="AD6" s="10">
        <v>4434677</v>
      </c>
      <c r="AE6" s="10">
        <v>2207034</v>
      </c>
      <c r="AF6" s="10">
        <v>3148794.2</v>
      </c>
      <c r="AG6" s="69">
        <v>240140</v>
      </c>
    </row>
    <row r="7" spans="1:33" ht="15" customHeight="1" x14ac:dyDescent="0.25">
      <c r="A7" s="2" t="s">
        <v>111</v>
      </c>
      <c r="B7" s="10"/>
      <c r="C7" s="10"/>
      <c r="D7" s="10"/>
      <c r="E7" s="10"/>
      <c r="F7" s="10"/>
      <c r="G7" s="10"/>
      <c r="H7" s="10"/>
      <c r="I7" s="69"/>
      <c r="J7" s="10"/>
      <c r="K7" s="10">
        <v>74916</v>
      </c>
      <c r="L7" s="10">
        <v>417302</v>
      </c>
      <c r="M7" s="10">
        <v>1099956</v>
      </c>
      <c r="N7" s="10">
        <v>2592040</v>
      </c>
      <c r="O7" s="10">
        <v>673034.95</v>
      </c>
      <c r="P7" s="10">
        <v>72013</v>
      </c>
      <c r="Q7" s="10"/>
      <c r="R7" s="10">
        <v>238377</v>
      </c>
      <c r="S7" s="10">
        <v>52429.97</v>
      </c>
      <c r="T7" s="10"/>
      <c r="U7" s="10"/>
      <c r="V7" s="10"/>
      <c r="W7" s="10">
        <v>37212</v>
      </c>
      <c r="X7" s="10"/>
      <c r="Y7" s="10">
        <v>537208</v>
      </c>
      <c r="Z7" s="10">
        <v>711556</v>
      </c>
      <c r="AA7" s="10"/>
      <c r="AB7" s="10">
        <v>48577</v>
      </c>
      <c r="AC7" s="10"/>
      <c r="AD7" s="10"/>
      <c r="AE7" s="10"/>
      <c r="AF7" s="10"/>
      <c r="AG7" s="69"/>
    </row>
    <row r="8" spans="1:33" ht="15" customHeight="1" x14ac:dyDescent="0.25">
      <c r="A8" s="2" t="s">
        <v>112</v>
      </c>
      <c r="B8" s="10"/>
      <c r="C8" s="10"/>
      <c r="D8" s="10"/>
      <c r="E8" s="10"/>
      <c r="F8" s="10"/>
      <c r="G8" s="10"/>
      <c r="H8" s="10"/>
      <c r="I8" s="69"/>
      <c r="J8" s="10"/>
      <c r="K8" s="10">
        <v>397300</v>
      </c>
      <c r="L8" s="10">
        <v>781</v>
      </c>
      <c r="M8" s="10"/>
      <c r="N8" s="10">
        <v>3281</v>
      </c>
      <c r="O8" s="10">
        <v>250172.54</v>
      </c>
      <c r="P8" s="10"/>
      <c r="Q8" s="10"/>
      <c r="R8" s="10">
        <v>44436</v>
      </c>
      <c r="S8" s="10">
        <v>4144.79</v>
      </c>
      <c r="T8" s="10"/>
      <c r="U8" s="10"/>
      <c r="V8" s="10"/>
      <c r="W8" s="10">
        <v>16110</v>
      </c>
      <c r="X8" s="10">
        <v>244721</v>
      </c>
      <c r="Y8" s="10"/>
      <c r="Z8" s="10"/>
      <c r="AA8" s="10"/>
      <c r="AB8" s="10">
        <v>634776</v>
      </c>
      <c r="AC8" s="10">
        <v>312118</v>
      </c>
      <c r="AD8" s="10"/>
      <c r="AE8" s="10"/>
      <c r="AF8" s="10"/>
      <c r="AG8" s="69">
        <v>211</v>
      </c>
    </row>
    <row r="9" spans="1:33" ht="30" customHeight="1" x14ac:dyDescent="0.25">
      <c r="A9" s="2" t="s">
        <v>110</v>
      </c>
      <c r="B9" s="10">
        <v>14136</v>
      </c>
      <c r="C9" s="10">
        <v>37526</v>
      </c>
      <c r="D9" s="10">
        <v>1424333.58</v>
      </c>
      <c r="E9" s="10">
        <v>284047</v>
      </c>
      <c r="F9" s="10">
        <v>152483</v>
      </c>
      <c r="G9" s="10">
        <v>12154</v>
      </c>
      <c r="H9" s="10">
        <v>217993</v>
      </c>
      <c r="I9" s="69">
        <v>43421.71</v>
      </c>
      <c r="J9" s="10">
        <v>6088</v>
      </c>
      <c r="K9" s="10"/>
      <c r="L9" s="10">
        <v>121987</v>
      </c>
      <c r="M9" s="10">
        <v>381147</v>
      </c>
      <c r="N9" s="10">
        <v>534609</v>
      </c>
      <c r="O9" s="10">
        <v>77828.600000000006</v>
      </c>
      <c r="P9" s="10">
        <v>12</v>
      </c>
      <c r="Q9" s="10">
        <v>56699</v>
      </c>
      <c r="R9" s="10"/>
      <c r="S9" s="10"/>
      <c r="T9" s="10"/>
      <c r="U9" s="10">
        <v>8205</v>
      </c>
      <c r="V9" s="10">
        <v>29370</v>
      </c>
      <c r="W9" s="10"/>
      <c r="X9" s="10"/>
      <c r="Y9" s="10">
        <v>64863</v>
      </c>
      <c r="Z9" s="10"/>
      <c r="AA9" s="10">
        <v>36924</v>
      </c>
      <c r="AB9" s="10"/>
      <c r="AC9" s="10"/>
      <c r="AD9" s="10">
        <v>406275</v>
      </c>
      <c r="AE9" s="10">
        <v>179418</v>
      </c>
      <c r="AF9" s="10">
        <v>525275.38</v>
      </c>
      <c r="AG9" s="69">
        <v>71599</v>
      </c>
    </row>
    <row r="10" spans="1:33" s="44" customFormat="1" ht="15" customHeight="1" x14ac:dyDescent="0.25">
      <c r="A10" s="19" t="s">
        <v>113</v>
      </c>
      <c r="B10" s="43"/>
      <c r="C10" s="43">
        <v>3838.29</v>
      </c>
      <c r="D10" s="43">
        <v>-117641.06</v>
      </c>
      <c r="E10" s="43">
        <v>165957</v>
      </c>
      <c r="F10" s="43">
        <v>-24831</v>
      </c>
      <c r="G10" s="43">
        <v>3206</v>
      </c>
      <c r="H10" s="43">
        <v>19097</v>
      </c>
      <c r="I10" s="27">
        <v>-11882.03</v>
      </c>
      <c r="J10" s="43">
        <v>1865</v>
      </c>
      <c r="K10" s="43">
        <v>11699</v>
      </c>
      <c r="L10" s="43">
        <v>-8946</v>
      </c>
      <c r="M10" s="43"/>
      <c r="N10" s="43">
        <v>18284</v>
      </c>
      <c r="O10" s="43"/>
      <c r="P10" s="43">
        <v>4179</v>
      </c>
      <c r="Q10" s="43">
        <v>156</v>
      </c>
      <c r="R10" s="43"/>
      <c r="S10" s="43">
        <v>4061.53</v>
      </c>
      <c r="T10" s="43"/>
      <c r="U10" s="43">
        <v>3931</v>
      </c>
      <c r="V10" s="43">
        <v>6238</v>
      </c>
      <c r="W10" s="43">
        <v>2906</v>
      </c>
      <c r="X10" s="43"/>
      <c r="Y10" s="43">
        <v>-19862</v>
      </c>
      <c r="Z10" s="43">
        <v>26627</v>
      </c>
      <c r="AA10" s="43">
        <v>8655</v>
      </c>
      <c r="AB10" s="43"/>
      <c r="AC10" s="43"/>
      <c r="AD10" s="43">
        <v>41809</v>
      </c>
      <c r="AE10" s="43">
        <v>846781</v>
      </c>
      <c r="AF10" s="43">
        <v>4665.41</v>
      </c>
      <c r="AG10" s="27">
        <v>51255</v>
      </c>
    </row>
    <row r="11" spans="1:33" ht="15" customHeight="1" x14ac:dyDescent="0.25">
      <c r="A11" s="2" t="s">
        <v>114</v>
      </c>
      <c r="B11" s="10">
        <v>25012</v>
      </c>
      <c r="C11" s="10">
        <v>31607.17</v>
      </c>
      <c r="D11" s="10">
        <v>527992.94999999995</v>
      </c>
      <c r="E11" s="10">
        <v>616138</v>
      </c>
      <c r="F11" s="10">
        <v>105753</v>
      </c>
      <c r="G11" s="10">
        <v>103015</v>
      </c>
      <c r="H11" s="10">
        <v>173010</v>
      </c>
      <c r="I11" s="69">
        <v>651128.56999999995</v>
      </c>
      <c r="J11" s="10">
        <v>9740</v>
      </c>
      <c r="K11" s="10">
        <v>114527</v>
      </c>
      <c r="L11" s="10">
        <v>126468</v>
      </c>
      <c r="M11" s="10">
        <v>404508</v>
      </c>
      <c r="N11" s="10">
        <v>752271</v>
      </c>
      <c r="O11" s="10">
        <v>415560.05</v>
      </c>
      <c r="P11" s="10">
        <v>25365</v>
      </c>
      <c r="Q11" s="10">
        <v>93057</v>
      </c>
      <c r="R11" s="10">
        <v>53508</v>
      </c>
      <c r="S11" s="10">
        <v>30656.44</v>
      </c>
      <c r="T11" s="10"/>
      <c r="U11" s="10">
        <v>7493</v>
      </c>
      <c r="V11" s="10">
        <v>87535</v>
      </c>
      <c r="W11" s="10">
        <v>18228</v>
      </c>
      <c r="X11" s="10">
        <v>282320</v>
      </c>
      <c r="Y11" s="10">
        <v>153841</v>
      </c>
      <c r="Z11" s="10">
        <v>267542</v>
      </c>
      <c r="AA11" s="10">
        <v>197236</v>
      </c>
      <c r="AB11" s="10">
        <v>354609</v>
      </c>
      <c r="AC11" s="10">
        <v>403485</v>
      </c>
      <c r="AD11" s="10">
        <v>2006303</v>
      </c>
      <c r="AE11" s="10">
        <v>255744</v>
      </c>
      <c r="AF11" s="10">
        <v>436181.11</v>
      </c>
      <c r="AG11" s="69">
        <v>57289</v>
      </c>
    </row>
    <row r="12" spans="1:33" x14ac:dyDescent="0.25">
      <c r="A12" s="2" t="s">
        <v>108</v>
      </c>
      <c r="B12" s="10"/>
      <c r="C12" s="10"/>
      <c r="D12" s="10"/>
      <c r="E12" s="10"/>
      <c r="F12" s="10"/>
      <c r="G12" s="10"/>
      <c r="H12" s="10"/>
      <c r="I12" s="69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69"/>
    </row>
    <row r="13" spans="1:33" ht="30" customHeight="1" x14ac:dyDescent="0.25">
      <c r="A13" s="2" t="s">
        <v>115</v>
      </c>
      <c r="B13" s="10">
        <v>3903</v>
      </c>
      <c r="C13" s="10"/>
      <c r="D13" s="10">
        <v>13669.91</v>
      </c>
      <c r="E13" s="10">
        <v>98297</v>
      </c>
      <c r="F13" s="10">
        <v>5340</v>
      </c>
      <c r="G13" s="10">
        <v>26527</v>
      </c>
      <c r="H13" s="10">
        <v>32715</v>
      </c>
      <c r="I13" s="69">
        <v>35526.85</v>
      </c>
      <c r="J13" s="10">
        <v>1010</v>
      </c>
      <c r="K13" s="10">
        <v>31710</v>
      </c>
      <c r="L13" s="10"/>
      <c r="M13" s="10">
        <v>64634</v>
      </c>
      <c r="N13" s="10">
        <v>23812</v>
      </c>
      <c r="O13" s="10">
        <v>152852.20000000001</v>
      </c>
      <c r="P13" s="10">
        <v>11261</v>
      </c>
      <c r="Q13" s="10">
        <v>13678</v>
      </c>
      <c r="R13" s="10">
        <v>14195</v>
      </c>
      <c r="S13" s="10">
        <v>8657.86</v>
      </c>
      <c r="T13" s="10"/>
      <c r="U13" s="10">
        <v>0.01</v>
      </c>
      <c r="V13" s="10">
        <v>42358</v>
      </c>
      <c r="W13" s="10">
        <v>4451</v>
      </c>
      <c r="X13" s="10">
        <v>73255</v>
      </c>
      <c r="Y13" s="10">
        <v>13719</v>
      </c>
      <c r="Z13" s="10">
        <v>21634</v>
      </c>
      <c r="AA13" s="10">
        <v>12854</v>
      </c>
      <c r="AB13" s="10">
        <v>40490</v>
      </c>
      <c r="AC13" s="10">
        <v>62368</v>
      </c>
      <c r="AD13" s="10">
        <v>524644</v>
      </c>
      <c r="AE13" s="10">
        <v>467689</v>
      </c>
      <c r="AF13" s="10">
        <v>62280.97</v>
      </c>
      <c r="AG13" s="69">
        <v>13654</v>
      </c>
    </row>
    <row r="14" spans="1:33" s="44" customFormat="1" x14ac:dyDescent="0.25">
      <c r="A14" s="19" t="s">
        <v>116</v>
      </c>
      <c r="B14" s="43">
        <v>21109</v>
      </c>
      <c r="C14" s="43">
        <v>31607.17</v>
      </c>
      <c r="D14" s="43">
        <v>514323.03</v>
      </c>
      <c r="E14" s="43">
        <v>517841</v>
      </c>
      <c r="F14" s="43">
        <v>100413</v>
      </c>
      <c r="G14" s="43">
        <v>76488</v>
      </c>
      <c r="H14" s="43">
        <v>140295</v>
      </c>
      <c r="I14" s="27">
        <v>615601.72</v>
      </c>
      <c r="J14" s="43">
        <v>8730</v>
      </c>
      <c r="K14" s="43">
        <v>82817</v>
      </c>
      <c r="L14" s="43">
        <v>126468</v>
      </c>
      <c r="M14" s="43">
        <v>339874</v>
      </c>
      <c r="N14" s="43">
        <v>728459</v>
      </c>
      <c r="O14" s="43">
        <v>262707.86</v>
      </c>
      <c r="P14" s="43">
        <v>14105</v>
      </c>
      <c r="Q14" s="43">
        <v>79379</v>
      </c>
      <c r="R14" s="43">
        <v>39313</v>
      </c>
      <c r="S14" s="43">
        <v>21998.57</v>
      </c>
      <c r="T14" s="43"/>
      <c r="U14" s="43">
        <v>7493</v>
      </c>
      <c r="V14" s="43">
        <v>45177</v>
      </c>
      <c r="W14" s="43">
        <v>13777</v>
      </c>
      <c r="X14" s="43">
        <v>209065</v>
      </c>
      <c r="Y14" s="43">
        <v>140122</v>
      </c>
      <c r="Z14" s="43">
        <v>245908</v>
      </c>
      <c r="AA14" s="43">
        <v>184381</v>
      </c>
      <c r="AB14" s="43">
        <v>290426</v>
      </c>
      <c r="AC14" s="43">
        <v>341117</v>
      </c>
      <c r="AD14" s="43">
        <v>1481659</v>
      </c>
      <c r="AE14" s="43">
        <v>-211945</v>
      </c>
      <c r="AF14" s="43">
        <v>373900.14</v>
      </c>
      <c r="AG14" s="27">
        <v>43635</v>
      </c>
    </row>
    <row r="15" spans="1:33" s="8" customFormat="1" ht="15" customHeight="1" x14ac:dyDescent="0.25">
      <c r="A15" s="3" t="s">
        <v>117</v>
      </c>
      <c r="B15" s="11">
        <v>21109</v>
      </c>
      <c r="C15" s="11">
        <v>35445.449999999997</v>
      </c>
      <c r="D15" s="11">
        <v>396681.98</v>
      </c>
      <c r="E15" s="11">
        <v>683798</v>
      </c>
      <c r="F15" s="11">
        <v>75582</v>
      </c>
      <c r="G15" s="11">
        <v>79694</v>
      </c>
      <c r="H15" s="11">
        <v>159392</v>
      </c>
      <c r="I15" s="41">
        <v>603719.68999999994</v>
      </c>
      <c r="J15" s="11">
        <v>10595</v>
      </c>
      <c r="K15" s="11">
        <v>94516</v>
      </c>
      <c r="L15" s="11">
        <v>117522</v>
      </c>
      <c r="M15" s="11">
        <v>339874</v>
      </c>
      <c r="N15" s="11">
        <v>746743</v>
      </c>
      <c r="O15" s="11">
        <v>262707.86</v>
      </c>
      <c r="P15" s="11">
        <v>18284</v>
      </c>
      <c r="Q15" s="11">
        <v>79535</v>
      </c>
      <c r="R15" s="11">
        <v>39313</v>
      </c>
      <c r="S15" s="11">
        <v>26060.1</v>
      </c>
      <c r="T15" s="11"/>
      <c r="U15" s="11">
        <v>11424</v>
      </c>
      <c r="V15" s="11">
        <v>51415</v>
      </c>
      <c r="W15" s="11">
        <v>16684</v>
      </c>
      <c r="X15" s="11">
        <v>209065</v>
      </c>
      <c r="Y15" s="11">
        <v>120260</v>
      </c>
      <c r="Z15" s="11">
        <v>272536</v>
      </c>
      <c r="AA15" s="11">
        <v>193036</v>
      </c>
      <c r="AB15" s="11">
        <v>290426</v>
      </c>
      <c r="AC15" s="11">
        <v>341117</v>
      </c>
      <c r="AD15" s="11">
        <v>1523468</v>
      </c>
      <c r="AE15" s="11">
        <v>634836</v>
      </c>
      <c r="AF15" s="11">
        <v>378565.55</v>
      </c>
      <c r="AG15" s="41">
        <v>94890</v>
      </c>
    </row>
    <row r="16" spans="1:33" s="8" customFormat="1" ht="14.25" customHeight="1" x14ac:dyDescent="0.25">
      <c r="A16" s="3" t="s">
        <v>118</v>
      </c>
      <c r="B16" s="11">
        <v>9151</v>
      </c>
      <c r="C16" s="11">
        <v>21960.52</v>
      </c>
      <c r="D16" s="11">
        <v>211019.59</v>
      </c>
      <c r="E16" s="11">
        <v>201350</v>
      </c>
      <c r="F16" s="11">
        <v>49974</v>
      </c>
      <c r="G16" s="11">
        <v>44092</v>
      </c>
      <c r="H16" s="11">
        <v>89225</v>
      </c>
      <c r="I16" s="41">
        <v>27878.45</v>
      </c>
      <c r="J16" s="11">
        <v>5798</v>
      </c>
      <c r="K16" s="11">
        <v>60532</v>
      </c>
      <c r="L16" s="11">
        <v>64931</v>
      </c>
      <c r="M16" s="11">
        <v>201705</v>
      </c>
      <c r="N16" s="11">
        <v>270549</v>
      </c>
      <c r="O16" s="11">
        <v>161062.14000000001</v>
      </c>
      <c r="P16" s="11">
        <v>10437</v>
      </c>
      <c r="Q16" s="11">
        <v>28266</v>
      </c>
      <c r="R16" s="11">
        <v>21584</v>
      </c>
      <c r="S16" s="11">
        <v>15824.53</v>
      </c>
      <c r="T16" s="11"/>
      <c r="U16" s="11">
        <v>5000</v>
      </c>
      <c r="V16" s="11">
        <v>31192</v>
      </c>
      <c r="W16" s="11">
        <v>6443</v>
      </c>
      <c r="X16" s="11">
        <v>126894</v>
      </c>
      <c r="Y16" s="11">
        <v>60960</v>
      </c>
      <c r="Z16" s="11">
        <v>129778</v>
      </c>
      <c r="AA16" s="11">
        <v>53135</v>
      </c>
      <c r="AB16" s="11">
        <v>176019</v>
      </c>
      <c r="AC16" s="11">
        <v>147349</v>
      </c>
      <c r="AD16" s="11">
        <v>763185</v>
      </c>
      <c r="AE16" s="11">
        <v>412356</v>
      </c>
      <c r="AF16" s="11">
        <v>455575.66</v>
      </c>
      <c r="AG16" s="41">
        <v>45948</v>
      </c>
    </row>
    <row r="17" spans="1:33" s="42" customFormat="1" ht="14.25" customHeight="1" x14ac:dyDescent="0.25">
      <c r="A17" s="20" t="s">
        <v>119</v>
      </c>
      <c r="B17" s="41">
        <v>2.31</v>
      </c>
      <c r="C17" s="41">
        <v>1.61</v>
      </c>
      <c r="D17" s="41">
        <v>1.88</v>
      </c>
      <c r="E17" s="41">
        <v>3.4</v>
      </c>
      <c r="F17" s="41">
        <v>1.51</v>
      </c>
      <c r="G17" s="41">
        <v>1.81</v>
      </c>
      <c r="H17" s="41">
        <v>1.786</v>
      </c>
      <c r="I17" s="41">
        <v>21.66</v>
      </c>
      <c r="J17" s="41">
        <v>1.83</v>
      </c>
      <c r="K17" s="41">
        <v>1.56</v>
      </c>
      <c r="L17" s="41">
        <v>1.81</v>
      </c>
      <c r="M17" s="41">
        <v>1.69</v>
      </c>
      <c r="N17" s="41">
        <v>2.76</v>
      </c>
      <c r="O17" s="41">
        <v>1.63</v>
      </c>
      <c r="P17" s="41">
        <v>1.75</v>
      </c>
      <c r="Q17" s="41">
        <v>2.81</v>
      </c>
      <c r="R17" s="41">
        <v>1.82</v>
      </c>
      <c r="S17" s="41">
        <v>1.6468</v>
      </c>
      <c r="T17" s="41"/>
      <c r="U17" s="41">
        <v>2.2799999999999998</v>
      </c>
      <c r="V17" s="41">
        <v>1.65</v>
      </c>
      <c r="W17" s="41">
        <v>2.59</v>
      </c>
      <c r="X17" s="41">
        <v>1.65</v>
      </c>
      <c r="Y17" s="41">
        <v>1.97</v>
      </c>
      <c r="Z17" s="41">
        <v>2.1</v>
      </c>
      <c r="AA17" s="41">
        <v>3.63</v>
      </c>
      <c r="AB17" s="41">
        <v>1.65</v>
      </c>
      <c r="AC17" s="41">
        <v>2.3199999999999998</v>
      </c>
      <c r="AD17" s="41">
        <v>2</v>
      </c>
      <c r="AE17" s="41">
        <v>1.54</v>
      </c>
      <c r="AF17" s="41">
        <v>0.83</v>
      </c>
      <c r="AG17" s="41">
        <v>2.0699999999999998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4"/>
  <sheetViews>
    <sheetView zoomScaleNormal="100" workbookViewId="0">
      <pane xSplit="1" ySplit="3" topLeftCell="AG4" activePane="bottomRight" state="frozen"/>
      <selection pane="topRight" activeCell="B1" sqref="B1"/>
      <selection pane="bottomLeft" activeCell="A4" sqref="A4"/>
      <selection pane="bottomRight" activeCell="AJ3" sqref="AJ3:AK3"/>
    </sheetView>
  </sheetViews>
  <sheetFormatPr defaultRowHeight="15" x14ac:dyDescent="0.25"/>
  <cols>
    <col min="1" max="1" width="33.140625" style="7" customWidth="1"/>
    <col min="2" max="67" width="16" style="7" customWidth="1"/>
    <col min="68" max="16384" width="9.140625" style="7"/>
  </cols>
  <sheetData>
    <row r="1" spans="1:67" ht="18.75" x14ac:dyDescent="0.3">
      <c r="A1" s="17" t="s">
        <v>120</v>
      </c>
    </row>
    <row r="2" spans="1:67" x14ac:dyDescent="0.25">
      <c r="A2" s="7" t="s">
        <v>121</v>
      </c>
    </row>
    <row r="3" spans="1:67" x14ac:dyDescent="0.25">
      <c r="A3" s="1" t="s">
        <v>0</v>
      </c>
      <c r="B3" s="122" t="s">
        <v>1</v>
      </c>
      <c r="C3" s="122"/>
      <c r="D3" s="122" t="s">
        <v>2</v>
      </c>
      <c r="E3" s="122"/>
      <c r="F3" s="122" t="s">
        <v>3</v>
      </c>
      <c r="G3" s="122"/>
      <c r="H3" s="122" t="s">
        <v>4</v>
      </c>
      <c r="I3" s="122"/>
      <c r="J3" s="122" t="s">
        <v>5</v>
      </c>
      <c r="K3" s="122"/>
      <c r="L3" s="122" t="s">
        <v>291</v>
      </c>
      <c r="M3" s="122"/>
      <c r="N3" s="120" t="s">
        <v>6</v>
      </c>
      <c r="O3" s="121"/>
      <c r="P3" s="120" t="s">
        <v>8</v>
      </c>
      <c r="Q3" s="121"/>
      <c r="R3" s="120" t="s">
        <v>7</v>
      </c>
      <c r="S3" s="121"/>
      <c r="T3" s="120" t="s">
        <v>9</v>
      </c>
      <c r="U3" s="121"/>
      <c r="V3" s="120" t="s">
        <v>10</v>
      </c>
      <c r="W3" s="121"/>
      <c r="X3" s="120" t="s">
        <v>11</v>
      </c>
      <c r="Y3" s="121"/>
      <c r="Z3" s="120" t="s">
        <v>12</v>
      </c>
      <c r="AA3" s="121"/>
      <c r="AB3" s="120" t="s">
        <v>13</v>
      </c>
      <c r="AC3" s="121"/>
      <c r="AD3" s="120" t="s">
        <v>14</v>
      </c>
      <c r="AE3" s="121"/>
      <c r="AF3" s="120" t="s">
        <v>15</v>
      </c>
      <c r="AG3" s="121"/>
      <c r="AH3" s="120" t="s">
        <v>16</v>
      </c>
      <c r="AI3" s="121"/>
      <c r="AJ3" s="120" t="s">
        <v>287</v>
      </c>
      <c r="AK3" s="121"/>
      <c r="AL3" s="120" t="s">
        <v>17</v>
      </c>
      <c r="AM3" s="121"/>
      <c r="AN3" s="120" t="s">
        <v>294</v>
      </c>
      <c r="AO3" s="121"/>
      <c r="AP3" s="120" t="s">
        <v>313</v>
      </c>
      <c r="AQ3" s="121"/>
      <c r="AR3" s="120" t="s">
        <v>18</v>
      </c>
      <c r="AS3" s="121"/>
      <c r="AT3" s="120" t="s">
        <v>19</v>
      </c>
      <c r="AU3" s="121"/>
      <c r="AV3" s="122" t="s">
        <v>20</v>
      </c>
      <c r="AW3" s="122"/>
      <c r="AX3" s="122" t="s">
        <v>21</v>
      </c>
      <c r="AY3" s="122"/>
      <c r="AZ3" s="122" t="s">
        <v>22</v>
      </c>
      <c r="BA3" s="122"/>
      <c r="BB3" s="122" t="s">
        <v>23</v>
      </c>
      <c r="BC3" s="122"/>
      <c r="BD3" s="122" t="s">
        <v>24</v>
      </c>
      <c r="BE3" s="122"/>
      <c r="BF3" s="122" t="s">
        <v>298</v>
      </c>
      <c r="BG3" s="122"/>
      <c r="BH3" s="122" t="s">
        <v>297</v>
      </c>
      <c r="BI3" s="122"/>
      <c r="BJ3" s="104" t="s">
        <v>25</v>
      </c>
      <c r="BK3" s="104"/>
      <c r="BL3" s="122" t="s">
        <v>26</v>
      </c>
      <c r="BM3" s="122"/>
      <c r="BN3" s="122" t="s">
        <v>27</v>
      </c>
      <c r="BO3" s="122"/>
    </row>
    <row r="4" spans="1:67" x14ac:dyDescent="0.25">
      <c r="A4" s="1"/>
      <c r="B4" s="22" t="s">
        <v>131</v>
      </c>
      <c r="C4" s="22" t="s">
        <v>132</v>
      </c>
      <c r="D4" s="22" t="s">
        <v>131</v>
      </c>
      <c r="E4" s="22" t="s">
        <v>132</v>
      </c>
      <c r="F4" s="22" t="s">
        <v>131</v>
      </c>
      <c r="G4" s="22" t="s">
        <v>132</v>
      </c>
      <c r="H4" s="22" t="s">
        <v>131</v>
      </c>
      <c r="I4" s="22" t="s">
        <v>132</v>
      </c>
      <c r="J4" s="22" t="s">
        <v>131</v>
      </c>
      <c r="K4" s="22" t="s">
        <v>132</v>
      </c>
      <c r="L4" s="22" t="s">
        <v>131</v>
      </c>
      <c r="M4" s="22" t="s">
        <v>132</v>
      </c>
      <c r="N4" s="22" t="s">
        <v>131</v>
      </c>
      <c r="O4" s="22" t="s">
        <v>132</v>
      </c>
      <c r="P4" s="22" t="s">
        <v>131</v>
      </c>
      <c r="Q4" s="22" t="s">
        <v>132</v>
      </c>
      <c r="R4" s="22" t="s">
        <v>131</v>
      </c>
      <c r="S4" s="22" t="s">
        <v>132</v>
      </c>
      <c r="T4" s="22" t="s">
        <v>131</v>
      </c>
      <c r="U4" s="22" t="s">
        <v>132</v>
      </c>
      <c r="V4" s="22" t="s">
        <v>131</v>
      </c>
      <c r="W4" s="22" t="s">
        <v>132</v>
      </c>
      <c r="X4" s="22" t="s">
        <v>131</v>
      </c>
      <c r="Y4" s="22" t="s">
        <v>132</v>
      </c>
      <c r="Z4" s="22" t="s">
        <v>131</v>
      </c>
      <c r="AA4" s="22" t="s">
        <v>132</v>
      </c>
      <c r="AB4" s="22" t="s">
        <v>131</v>
      </c>
      <c r="AC4" s="22" t="s">
        <v>132</v>
      </c>
      <c r="AD4" s="22" t="s">
        <v>131</v>
      </c>
      <c r="AE4" s="22" t="s">
        <v>132</v>
      </c>
      <c r="AF4" s="22" t="s">
        <v>131</v>
      </c>
      <c r="AG4" s="22" t="s">
        <v>132</v>
      </c>
      <c r="AH4" s="22" t="s">
        <v>131</v>
      </c>
      <c r="AI4" s="22" t="s">
        <v>132</v>
      </c>
      <c r="AJ4" s="22" t="s">
        <v>131</v>
      </c>
      <c r="AK4" s="22" t="s">
        <v>132</v>
      </c>
      <c r="AL4" s="22" t="s">
        <v>131</v>
      </c>
      <c r="AM4" s="22" t="s">
        <v>132</v>
      </c>
      <c r="AN4" s="22" t="s">
        <v>131</v>
      </c>
      <c r="AO4" s="22" t="s">
        <v>132</v>
      </c>
      <c r="AP4" s="22" t="s">
        <v>131</v>
      </c>
      <c r="AQ4" s="22" t="s">
        <v>132</v>
      </c>
      <c r="AR4" s="22" t="s">
        <v>131</v>
      </c>
      <c r="AS4" s="22" t="s">
        <v>132</v>
      </c>
      <c r="AT4" s="22" t="s">
        <v>131</v>
      </c>
      <c r="AU4" s="22" t="s">
        <v>132</v>
      </c>
      <c r="AV4" s="22" t="s">
        <v>131</v>
      </c>
      <c r="AW4" s="22" t="s">
        <v>132</v>
      </c>
      <c r="AX4" s="22" t="s">
        <v>131</v>
      </c>
      <c r="AY4" s="22" t="s">
        <v>132</v>
      </c>
      <c r="AZ4" s="22" t="s">
        <v>131</v>
      </c>
      <c r="BA4" s="22" t="s">
        <v>132</v>
      </c>
      <c r="BB4" s="22" t="s">
        <v>131</v>
      </c>
      <c r="BC4" s="22" t="s">
        <v>132</v>
      </c>
      <c r="BD4" s="22" t="s">
        <v>131</v>
      </c>
      <c r="BE4" s="22" t="s">
        <v>132</v>
      </c>
      <c r="BF4" s="22" t="s">
        <v>131</v>
      </c>
      <c r="BG4" s="22" t="s">
        <v>132</v>
      </c>
      <c r="BH4" s="22" t="s">
        <v>131</v>
      </c>
      <c r="BI4" s="22" t="s">
        <v>132</v>
      </c>
      <c r="BJ4" s="22" t="s">
        <v>131</v>
      </c>
      <c r="BK4" s="22" t="s">
        <v>132</v>
      </c>
      <c r="BL4" s="22" t="s">
        <v>131</v>
      </c>
      <c r="BM4" s="22" t="s">
        <v>132</v>
      </c>
      <c r="BN4" s="22" t="s">
        <v>131</v>
      </c>
      <c r="BO4" s="22" t="s">
        <v>132</v>
      </c>
    </row>
    <row r="5" spans="1:67" x14ac:dyDescent="0.25">
      <c r="A5" s="10" t="s">
        <v>122</v>
      </c>
      <c r="B5" s="10"/>
      <c r="C5" s="10"/>
      <c r="D5" s="10">
        <v>41840</v>
      </c>
      <c r="E5" s="10">
        <v>5509</v>
      </c>
      <c r="F5" s="10"/>
      <c r="G5" s="10"/>
      <c r="H5" s="10">
        <v>581274</v>
      </c>
      <c r="I5" s="10">
        <v>48584</v>
      </c>
      <c r="J5" s="10">
        <v>16911</v>
      </c>
      <c r="K5" s="10">
        <v>2711</v>
      </c>
      <c r="L5" s="10">
        <v>159564</v>
      </c>
      <c r="M5" s="10">
        <v>28709</v>
      </c>
      <c r="N5" s="10">
        <v>9401</v>
      </c>
      <c r="O5" s="10">
        <v>1224</v>
      </c>
      <c r="P5" s="10"/>
      <c r="Q5" s="10"/>
      <c r="R5" s="10">
        <v>1176</v>
      </c>
      <c r="S5" s="69">
        <v>135.47</v>
      </c>
      <c r="T5" s="10">
        <v>182352</v>
      </c>
      <c r="U5" s="10">
        <v>15197.97</v>
      </c>
      <c r="V5" s="10">
        <v>300292</v>
      </c>
      <c r="W5" s="10">
        <v>10892</v>
      </c>
      <c r="X5" s="10">
        <v>349171</v>
      </c>
      <c r="Y5" s="10">
        <v>52507.7</v>
      </c>
      <c r="Z5" s="10">
        <v>278197</v>
      </c>
      <c r="AA5" s="10">
        <v>42309</v>
      </c>
      <c r="AB5" s="43">
        <v>682009</v>
      </c>
      <c r="AC5" s="10">
        <v>39837.81</v>
      </c>
      <c r="AD5" s="10">
        <v>2293</v>
      </c>
      <c r="AE5" s="10">
        <v>314.08</v>
      </c>
      <c r="AF5" s="10">
        <v>26471</v>
      </c>
      <c r="AG5" s="10">
        <v>2459</v>
      </c>
      <c r="AH5" s="10">
        <v>11771</v>
      </c>
      <c r="AI5" s="10">
        <v>1315</v>
      </c>
      <c r="AJ5" s="10">
        <v>33265</v>
      </c>
      <c r="AK5" s="10">
        <v>5392</v>
      </c>
      <c r="AL5" s="10">
        <v>1491015</v>
      </c>
      <c r="AM5" s="10">
        <v>131653.89614580001</v>
      </c>
      <c r="AN5" s="10">
        <v>4377</v>
      </c>
      <c r="AO5" s="10">
        <v>50</v>
      </c>
      <c r="AP5" s="10">
        <v>101575</v>
      </c>
      <c r="AQ5" s="10">
        <v>19837</v>
      </c>
      <c r="AR5" s="10">
        <v>7698</v>
      </c>
      <c r="AS5" s="10">
        <v>970.61</v>
      </c>
      <c r="AT5" s="10">
        <v>227314</v>
      </c>
      <c r="AU5" s="10">
        <v>19690</v>
      </c>
      <c r="AV5" s="10">
        <v>93239</v>
      </c>
      <c r="AW5" s="10">
        <v>11912</v>
      </c>
      <c r="AX5" s="10">
        <v>76516</v>
      </c>
      <c r="AY5" s="10">
        <v>11044</v>
      </c>
      <c r="AZ5" s="10">
        <v>357955</v>
      </c>
      <c r="BA5" s="10">
        <v>11544.79</v>
      </c>
      <c r="BB5" s="10">
        <v>1309272</v>
      </c>
      <c r="BC5" s="10">
        <v>167645</v>
      </c>
      <c r="BD5" s="10">
        <v>268635</v>
      </c>
      <c r="BE5" s="10">
        <v>41909</v>
      </c>
      <c r="BF5" s="10">
        <v>3257790</v>
      </c>
      <c r="BG5" s="10">
        <v>206498</v>
      </c>
      <c r="BH5" s="10">
        <v>938164</v>
      </c>
      <c r="BI5" s="10">
        <v>109467.33</v>
      </c>
      <c r="BJ5" s="38">
        <v>2208602</v>
      </c>
      <c r="BK5" s="38">
        <v>152930</v>
      </c>
      <c r="BL5" s="10">
        <v>17134</v>
      </c>
      <c r="BM5" s="10">
        <v>1937</v>
      </c>
      <c r="BN5" s="11">
        <f>B5+D5+F5+H5+J5+L5+N5+P5+R5+T5+V5+X5+Z5+AB5+AD5+AF5+AH5+AJ5+AL5+AN5+AP5+AR5+AT5+AV5+AX5+AZ5+BB5+BD5+BF5+BH5+BJ5+BL5</f>
        <v>13035273</v>
      </c>
      <c r="BO5" s="11">
        <f>C5+E5+G5+I5+K5+M5+O5+Q5+S5+U5+W5+Y5+AA5+AC5+AE5+AG5+AI5+AK5+AM5+AO5+AQ5+AS5+AU5+AW5+AY5+BA5+BC5+BE5+BG5+BI5+BK5+BM5</f>
        <v>1144185.6561457999</v>
      </c>
    </row>
    <row r="6" spans="1:67" x14ac:dyDescent="0.25">
      <c r="A6" s="10" t="s">
        <v>123</v>
      </c>
      <c r="B6" s="10"/>
      <c r="C6" s="10"/>
      <c r="D6" s="10">
        <v>81500</v>
      </c>
      <c r="E6" s="10">
        <v>11871</v>
      </c>
      <c r="F6" s="10"/>
      <c r="G6" s="10"/>
      <c r="H6" s="10">
        <v>1785918</v>
      </c>
      <c r="I6" s="10">
        <v>26708</v>
      </c>
      <c r="J6" s="10">
        <v>281968</v>
      </c>
      <c r="K6" s="10">
        <v>6266</v>
      </c>
      <c r="L6" s="10">
        <v>32779</v>
      </c>
      <c r="M6" s="10">
        <v>12065</v>
      </c>
      <c r="N6" s="10">
        <v>214260</v>
      </c>
      <c r="O6" s="10">
        <v>17080</v>
      </c>
      <c r="P6" s="10">
        <v>0</v>
      </c>
      <c r="Q6" s="10">
        <v>0.08</v>
      </c>
      <c r="R6" s="10">
        <v>1</v>
      </c>
      <c r="S6" s="69">
        <v>0.06</v>
      </c>
      <c r="T6" s="10">
        <v>205120</v>
      </c>
      <c r="U6" s="10">
        <v>4392.37</v>
      </c>
      <c r="V6" s="10">
        <v>1540</v>
      </c>
      <c r="W6" s="10">
        <v>167</v>
      </c>
      <c r="X6" s="10">
        <v>403024</v>
      </c>
      <c r="Y6" s="10">
        <v>32250.3</v>
      </c>
      <c r="Z6" s="10">
        <v>160415</v>
      </c>
      <c r="AA6" s="10">
        <v>22922</v>
      </c>
      <c r="AB6" s="10">
        <v>62209</v>
      </c>
      <c r="AC6" s="10">
        <v>1540.95</v>
      </c>
      <c r="AD6" s="10">
        <v>19377</v>
      </c>
      <c r="AE6" s="10">
        <v>2678.76</v>
      </c>
      <c r="AF6" s="10">
        <v>458</v>
      </c>
      <c r="AG6" s="10">
        <v>13</v>
      </c>
      <c r="AH6" s="10">
        <v>2254</v>
      </c>
      <c r="AI6" s="10">
        <v>59</v>
      </c>
      <c r="AJ6" s="10">
        <v>6275</v>
      </c>
      <c r="AK6" s="10">
        <v>3018</v>
      </c>
      <c r="AL6" s="10">
        <v>6970</v>
      </c>
      <c r="AM6" s="10">
        <v>563.81973800000003</v>
      </c>
      <c r="AN6" s="10"/>
      <c r="AO6" s="10"/>
      <c r="AP6" s="10">
        <v>51770</v>
      </c>
      <c r="AQ6" s="10">
        <v>9594</v>
      </c>
      <c r="AR6" s="10"/>
      <c r="AS6" s="10"/>
      <c r="AT6" s="10">
        <v>137346</v>
      </c>
      <c r="AU6" s="10">
        <v>6850</v>
      </c>
      <c r="AV6" s="10">
        <v>7463</v>
      </c>
      <c r="AW6" s="10">
        <v>1046</v>
      </c>
      <c r="AX6" s="10">
        <v>320984</v>
      </c>
      <c r="AY6" s="10">
        <v>26332</v>
      </c>
      <c r="AZ6" s="10">
        <v>3520</v>
      </c>
      <c r="BA6" s="10">
        <v>87.23</v>
      </c>
      <c r="BB6" s="10">
        <v>32098</v>
      </c>
      <c r="BC6" s="10">
        <v>5807</v>
      </c>
      <c r="BD6" s="10">
        <v>184494</v>
      </c>
      <c r="BE6" s="10">
        <v>21677</v>
      </c>
      <c r="BF6" s="10">
        <v>80307</v>
      </c>
      <c r="BG6" s="10">
        <v>6034</v>
      </c>
      <c r="BH6" s="10">
        <v>42028</v>
      </c>
      <c r="BI6" s="10">
        <v>5315.38</v>
      </c>
      <c r="BJ6" s="38">
        <v>64393</v>
      </c>
      <c r="BK6" s="38">
        <v>13458</v>
      </c>
      <c r="BL6" s="10">
        <v>103899</v>
      </c>
      <c r="BM6" s="10">
        <v>7541</v>
      </c>
      <c r="BN6" s="11">
        <f t="shared" ref="BN6:BN14" si="0">B6+D6+F6+H6+J6+L6+N6+P6+R6+T6+V6+X6+Z6+AB6+AD6+AF6+AH6+AJ6+AL6+AN6+AP6+AR6+AT6+AV6+AX6+AZ6+BB6+BD6+BF6+BH6+BJ6+BL6</f>
        <v>4292370</v>
      </c>
      <c r="BO6" s="11">
        <f t="shared" ref="BO6:BO14" si="1">C6+E6+G6+I6+K6+M6+O6+Q6+S6+U6+W6+Y6+AA6+AC6+AE6+AG6+AI6+AK6+AM6+AO6+AQ6+AS6+AU6+AW6+AY6+BA6+BC6+BE6+BG6+BI6+BK6+BM6</f>
        <v>245336.94973800002</v>
      </c>
    </row>
    <row r="7" spans="1:67" x14ac:dyDescent="0.25">
      <c r="A7" s="10" t="s">
        <v>124</v>
      </c>
      <c r="B7" s="10">
        <v>41287</v>
      </c>
      <c r="C7" s="10">
        <v>1672</v>
      </c>
      <c r="D7" s="10">
        <v>1070</v>
      </c>
      <c r="E7" s="10">
        <v>3387</v>
      </c>
      <c r="F7" s="10"/>
      <c r="G7" s="10"/>
      <c r="H7" s="10">
        <v>328607</v>
      </c>
      <c r="I7" s="10">
        <v>5778</v>
      </c>
      <c r="J7" s="10">
        <v>141511</v>
      </c>
      <c r="K7" s="10">
        <v>1924</v>
      </c>
      <c r="L7" s="10">
        <v>4826</v>
      </c>
      <c r="M7" s="10">
        <v>3147</v>
      </c>
      <c r="N7" s="10">
        <v>840107</v>
      </c>
      <c r="O7" s="10">
        <v>35267</v>
      </c>
      <c r="P7" s="10"/>
      <c r="Q7" s="10"/>
      <c r="R7" s="10">
        <v>1242</v>
      </c>
      <c r="S7" s="69">
        <v>81.72</v>
      </c>
      <c r="T7" s="10">
        <v>8762</v>
      </c>
      <c r="U7" s="10">
        <v>284.97000000000003</v>
      </c>
      <c r="V7" s="10">
        <v>7587</v>
      </c>
      <c r="W7" s="10">
        <v>1025</v>
      </c>
      <c r="X7" s="10">
        <v>70967</v>
      </c>
      <c r="Y7" s="10">
        <v>11334.1</v>
      </c>
      <c r="Z7" s="10">
        <v>58172</v>
      </c>
      <c r="AA7" s="10">
        <v>8009</v>
      </c>
      <c r="AB7" s="10">
        <v>8221</v>
      </c>
      <c r="AC7" s="10">
        <v>494.01</v>
      </c>
      <c r="AD7" s="10">
        <v>2589</v>
      </c>
      <c r="AE7" s="10">
        <v>266.55</v>
      </c>
      <c r="AF7" s="10">
        <v>7075</v>
      </c>
      <c r="AG7" s="10">
        <v>507</v>
      </c>
      <c r="AH7" s="10">
        <v>15931</v>
      </c>
      <c r="AI7" s="10">
        <v>1877</v>
      </c>
      <c r="AJ7" s="10">
        <v>2899</v>
      </c>
      <c r="AK7" s="10">
        <v>1129</v>
      </c>
      <c r="AL7" s="10">
        <v>833497</v>
      </c>
      <c r="AM7" s="10">
        <v>7962.7649532000005</v>
      </c>
      <c r="AN7" s="10">
        <v>1926</v>
      </c>
      <c r="AO7" s="10">
        <v>54</v>
      </c>
      <c r="AP7" s="10">
        <v>528</v>
      </c>
      <c r="AQ7" s="10">
        <v>7008</v>
      </c>
      <c r="AR7" s="10"/>
      <c r="AS7" s="10"/>
      <c r="AT7" s="10">
        <v>44983</v>
      </c>
      <c r="AU7" s="10">
        <v>7528</v>
      </c>
      <c r="AV7" s="10">
        <v>34080</v>
      </c>
      <c r="AW7" s="10">
        <v>7471</v>
      </c>
      <c r="AX7" s="10">
        <v>41109</v>
      </c>
      <c r="AY7" s="10">
        <v>1644</v>
      </c>
      <c r="AZ7" s="10">
        <v>298639</v>
      </c>
      <c r="BA7" s="10">
        <v>17642.21</v>
      </c>
      <c r="BB7" s="10">
        <v>5862</v>
      </c>
      <c r="BC7" s="10">
        <v>652</v>
      </c>
      <c r="BD7" s="10">
        <v>20226</v>
      </c>
      <c r="BE7" s="10">
        <v>3348</v>
      </c>
      <c r="BF7" s="10">
        <v>1280348</v>
      </c>
      <c r="BG7" s="10">
        <v>40540</v>
      </c>
      <c r="BH7" s="10">
        <v>32733</v>
      </c>
      <c r="BI7" s="10">
        <v>2280.0700000000002</v>
      </c>
      <c r="BJ7" s="38">
        <v>8827</v>
      </c>
      <c r="BK7" s="38">
        <v>1859</v>
      </c>
      <c r="BL7" s="10">
        <v>68</v>
      </c>
      <c r="BM7" s="10">
        <v>2</v>
      </c>
      <c r="BN7" s="11">
        <f t="shared" si="0"/>
        <v>4143679</v>
      </c>
      <c r="BO7" s="11">
        <f t="shared" si="1"/>
        <v>174174.39495320001</v>
      </c>
    </row>
    <row r="8" spans="1:67" x14ac:dyDescent="0.25">
      <c r="A8" s="10" t="s">
        <v>125</v>
      </c>
      <c r="B8" s="10">
        <v>27256</v>
      </c>
      <c r="C8" s="10">
        <v>5558</v>
      </c>
      <c r="D8" s="10">
        <v>10097</v>
      </c>
      <c r="E8" s="10">
        <v>11983</v>
      </c>
      <c r="F8" s="10">
        <v>469292</v>
      </c>
      <c r="G8" s="69">
        <v>7208.24</v>
      </c>
      <c r="H8" s="10">
        <v>770847</v>
      </c>
      <c r="I8" s="10">
        <v>105124</v>
      </c>
      <c r="J8" s="10">
        <v>373953</v>
      </c>
      <c r="K8" s="10">
        <v>24717</v>
      </c>
      <c r="L8" s="10">
        <v>60903</v>
      </c>
      <c r="M8" s="10">
        <v>20701</v>
      </c>
      <c r="N8" s="10">
        <v>294299</v>
      </c>
      <c r="O8" s="10">
        <v>28772</v>
      </c>
      <c r="P8" s="10">
        <v>63</v>
      </c>
      <c r="Q8" s="10">
        <v>2418.08</v>
      </c>
      <c r="R8" s="10">
        <v>13595</v>
      </c>
      <c r="S8" s="71">
        <v>3573.58</v>
      </c>
      <c r="T8" s="10">
        <v>136270</v>
      </c>
      <c r="U8" s="10">
        <v>32056.84</v>
      </c>
      <c r="V8" s="10">
        <v>419882</v>
      </c>
      <c r="W8" s="10">
        <v>45916</v>
      </c>
      <c r="X8" s="10">
        <v>563123</v>
      </c>
      <c r="Y8" s="10">
        <v>94359.5</v>
      </c>
      <c r="Z8" s="10">
        <v>2304776</v>
      </c>
      <c r="AA8" s="10">
        <v>182936</v>
      </c>
      <c r="AB8" s="10">
        <v>480895</v>
      </c>
      <c r="AC8" s="10">
        <v>97377.71</v>
      </c>
      <c r="AD8" s="10">
        <v>111370</v>
      </c>
      <c r="AE8" s="10">
        <v>2899.9</v>
      </c>
      <c r="AF8" s="10">
        <v>260844</v>
      </c>
      <c r="AG8" s="10">
        <v>24028</v>
      </c>
      <c r="AH8" s="10">
        <v>108876</v>
      </c>
      <c r="AI8" s="10">
        <v>17597</v>
      </c>
      <c r="AJ8" s="10">
        <v>25434</v>
      </c>
      <c r="AK8" s="10">
        <v>6557</v>
      </c>
      <c r="AL8" s="10">
        <v>402529</v>
      </c>
      <c r="AM8" s="10">
        <v>98738.634994499997</v>
      </c>
      <c r="AN8" s="10">
        <v>7638</v>
      </c>
      <c r="AO8" s="10">
        <v>125</v>
      </c>
      <c r="AP8" s="10">
        <v>19282</v>
      </c>
      <c r="AQ8" s="10">
        <v>3696</v>
      </c>
      <c r="AR8" s="10">
        <v>32468</v>
      </c>
      <c r="AS8" s="10">
        <v>6466.99</v>
      </c>
      <c r="AT8" s="10">
        <v>470767</v>
      </c>
      <c r="AU8" s="10">
        <v>81182</v>
      </c>
      <c r="AV8" s="10">
        <v>167015</v>
      </c>
      <c r="AW8" s="10">
        <v>33239</v>
      </c>
      <c r="AX8" s="10">
        <v>224404</v>
      </c>
      <c r="AY8" s="10">
        <v>60715</v>
      </c>
      <c r="AZ8" s="10">
        <v>56231</v>
      </c>
      <c r="BA8" s="10">
        <v>3405.82</v>
      </c>
      <c r="BB8" s="10">
        <v>33143</v>
      </c>
      <c r="BC8" s="10">
        <v>17751</v>
      </c>
      <c r="BD8" s="10">
        <v>653277</v>
      </c>
      <c r="BE8" s="10">
        <v>98543</v>
      </c>
      <c r="BF8" s="10">
        <v>417454</v>
      </c>
      <c r="BG8" s="10">
        <v>311008</v>
      </c>
      <c r="BH8" s="10">
        <v>220672</v>
      </c>
      <c r="BI8" s="10">
        <v>87770.82</v>
      </c>
      <c r="BJ8" s="38">
        <v>273122</v>
      </c>
      <c r="BK8" s="38">
        <v>84801</v>
      </c>
      <c r="BL8" s="10">
        <v>170220</v>
      </c>
      <c r="BM8" s="10">
        <v>24994</v>
      </c>
      <c r="BN8" s="11">
        <f t="shared" si="0"/>
        <v>9579997</v>
      </c>
      <c r="BO8" s="11">
        <f t="shared" si="1"/>
        <v>1626219.1149945001</v>
      </c>
    </row>
    <row r="9" spans="1:67" x14ac:dyDescent="0.25">
      <c r="A9" s="10" t="s">
        <v>126</v>
      </c>
      <c r="B9" s="10"/>
      <c r="C9" s="10"/>
      <c r="D9" s="10"/>
      <c r="E9" s="10"/>
      <c r="F9" s="10">
        <v>-6</v>
      </c>
      <c r="G9" s="69">
        <v>-0.21</v>
      </c>
      <c r="H9" s="10"/>
      <c r="I9" s="10"/>
      <c r="J9" s="10"/>
      <c r="K9" s="10"/>
      <c r="L9" s="10">
        <v>9</v>
      </c>
      <c r="M9" s="10">
        <v>492</v>
      </c>
      <c r="N9" s="10"/>
      <c r="O9" s="10"/>
      <c r="P9" s="10"/>
      <c r="Q9" s="10"/>
      <c r="R9" s="10"/>
      <c r="S9" s="71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>
        <v>2618</v>
      </c>
      <c r="AE9" s="10">
        <v>7.27</v>
      </c>
      <c r="AF9" s="10"/>
      <c r="AG9" s="10"/>
      <c r="AH9" s="10"/>
      <c r="AI9" s="10"/>
      <c r="AJ9" s="10"/>
      <c r="AK9" s="10"/>
      <c r="AL9" s="10">
        <v>0</v>
      </c>
      <c r="AM9" s="10">
        <v>0</v>
      </c>
      <c r="AN9" s="10"/>
      <c r="AO9" s="10"/>
      <c r="AP9" s="10"/>
      <c r="AQ9" s="10"/>
      <c r="AR9" s="10"/>
      <c r="AS9" s="10"/>
      <c r="AT9" s="10"/>
      <c r="AU9" s="10"/>
      <c r="AV9" s="10">
        <v>8</v>
      </c>
      <c r="AW9" s="10">
        <v>0</v>
      </c>
      <c r="AX9" s="10"/>
      <c r="AY9" s="10"/>
      <c r="AZ9" s="10"/>
      <c r="BA9" s="10"/>
      <c r="BB9" s="10"/>
      <c r="BC9" s="10"/>
      <c r="BD9" s="10"/>
      <c r="BE9" s="10"/>
      <c r="BF9" s="10">
        <v>22</v>
      </c>
      <c r="BG9" s="10">
        <v>3</v>
      </c>
      <c r="BH9" s="10"/>
      <c r="BI9" s="10"/>
      <c r="BJ9" s="10">
        <v>0</v>
      </c>
      <c r="BK9" s="10">
        <v>0</v>
      </c>
      <c r="BL9" s="10"/>
      <c r="BM9" s="10"/>
      <c r="BN9" s="11">
        <f t="shared" si="0"/>
        <v>2651</v>
      </c>
      <c r="BO9" s="11">
        <f t="shared" si="1"/>
        <v>502.06</v>
      </c>
    </row>
    <row r="10" spans="1:67" x14ac:dyDescent="0.25">
      <c r="A10" s="10" t="s">
        <v>127</v>
      </c>
      <c r="B10" s="10">
        <v>250558</v>
      </c>
      <c r="C10" s="10">
        <v>9749</v>
      </c>
      <c r="D10" s="10">
        <v>27959</v>
      </c>
      <c r="E10" s="10">
        <v>4001</v>
      </c>
      <c r="F10" s="10">
        <v>-1192</v>
      </c>
      <c r="G10" s="69">
        <v>82.33</v>
      </c>
      <c r="H10" s="10">
        <v>505453</v>
      </c>
      <c r="I10" s="10">
        <v>54611</v>
      </c>
      <c r="J10" s="10">
        <v>139914</v>
      </c>
      <c r="K10" s="10">
        <v>7151</v>
      </c>
      <c r="L10" s="10">
        <v>40989</v>
      </c>
      <c r="M10" s="10">
        <v>9240</v>
      </c>
      <c r="N10" s="10">
        <v>82017</v>
      </c>
      <c r="O10" s="10">
        <v>7707</v>
      </c>
      <c r="P10" s="10">
        <v>488</v>
      </c>
      <c r="Q10" s="10">
        <v>6605.84</v>
      </c>
      <c r="R10" s="10">
        <v>6995</v>
      </c>
      <c r="S10" s="71">
        <v>1337.92</v>
      </c>
      <c r="T10" s="10">
        <v>103645</v>
      </c>
      <c r="U10" s="10">
        <v>16478.78</v>
      </c>
      <c r="V10" s="10">
        <v>447753</v>
      </c>
      <c r="W10" s="10">
        <v>20811</v>
      </c>
      <c r="X10" s="10">
        <v>241153</v>
      </c>
      <c r="Y10" s="10">
        <v>36172.5</v>
      </c>
      <c r="Z10" s="10">
        <f>116995+149232</f>
        <v>266227</v>
      </c>
      <c r="AA10" s="10">
        <f>6793+89350</f>
        <v>96143</v>
      </c>
      <c r="AB10" s="10">
        <v>73822</v>
      </c>
      <c r="AC10" s="10">
        <v>38400.43</v>
      </c>
      <c r="AD10" s="10">
        <v>248240</v>
      </c>
      <c r="AE10" s="10">
        <v>4332.3100000000004</v>
      </c>
      <c r="AF10" s="10">
        <v>75774</v>
      </c>
      <c r="AG10" s="10">
        <v>2682</v>
      </c>
      <c r="AH10" s="10">
        <v>20210</v>
      </c>
      <c r="AI10" s="10">
        <v>1454</v>
      </c>
      <c r="AJ10" s="10">
        <v>8636</v>
      </c>
      <c r="AK10" s="10">
        <v>4915</v>
      </c>
      <c r="AL10" s="10">
        <v>59209</v>
      </c>
      <c r="AM10" s="10">
        <v>68171.115291200011</v>
      </c>
      <c r="AN10" s="10">
        <f>771+5361</f>
        <v>6132</v>
      </c>
      <c r="AO10" s="10">
        <f>16+111</f>
        <v>127</v>
      </c>
      <c r="AP10" s="10">
        <v>58734</v>
      </c>
      <c r="AQ10" s="10">
        <v>11553</v>
      </c>
      <c r="AR10" s="10">
        <v>6583</v>
      </c>
      <c r="AS10" s="10">
        <v>936.19</v>
      </c>
      <c r="AT10" s="10">
        <v>106455</v>
      </c>
      <c r="AU10" s="10">
        <v>80512</v>
      </c>
      <c r="AV10" s="10">
        <v>82169</v>
      </c>
      <c r="AW10" s="10">
        <v>8263</v>
      </c>
      <c r="AX10" s="10">
        <v>154188</v>
      </c>
      <c r="AY10" s="10">
        <v>16676</v>
      </c>
      <c r="AZ10" s="10">
        <v>69130</v>
      </c>
      <c r="BA10" s="10">
        <v>1710.5</v>
      </c>
      <c r="BB10" s="10">
        <v>139970</v>
      </c>
      <c r="BC10" s="10">
        <v>20594</v>
      </c>
      <c r="BD10" s="10">
        <v>213114</v>
      </c>
      <c r="BE10" s="10">
        <v>26696</v>
      </c>
      <c r="BF10" s="10">
        <v>290876</v>
      </c>
      <c r="BG10" s="10">
        <v>305801</v>
      </c>
      <c r="BH10" s="10">
        <v>164892</v>
      </c>
      <c r="BI10" s="10">
        <v>102481.98</v>
      </c>
      <c r="BJ10" s="10">
        <v>100046</v>
      </c>
      <c r="BK10" s="10">
        <v>101346</v>
      </c>
      <c r="BL10" s="10">
        <v>39017</v>
      </c>
      <c r="BM10" s="10">
        <v>15583</v>
      </c>
      <c r="BN10" s="11">
        <f t="shared" si="0"/>
        <v>4029156</v>
      </c>
      <c r="BO10" s="11">
        <f t="shared" si="1"/>
        <v>1082324.8952911999</v>
      </c>
    </row>
    <row r="11" spans="1:67" x14ac:dyDescent="0.25">
      <c r="A11" s="10" t="s">
        <v>38</v>
      </c>
      <c r="B11" s="10">
        <f>B12-B10-B9-B8-B7-B6-B5</f>
        <v>2519</v>
      </c>
      <c r="C11" s="10">
        <f t="shared" ref="C11:BJ11" si="2">C12-C10-C9-C8-C7-C6-C5</f>
        <v>47</v>
      </c>
      <c r="D11" s="10">
        <f t="shared" si="2"/>
        <v>0</v>
      </c>
      <c r="E11" s="10">
        <f t="shared" si="2"/>
        <v>1</v>
      </c>
      <c r="F11" s="10">
        <f t="shared" si="2"/>
        <v>213689</v>
      </c>
      <c r="G11" s="69">
        <f t="shared" si="2"/>
        <v>13410.199999999999</v>
      </c>
      <c r="H11" s="10">
        <f t="shared" si="2"/>
        <v>263968</v>
      </c>
      <c r="I11" s="10">
        <f>I12-I10-I9-I8-I7-I6-I5</f>
        <v>6362</v>
      </c>
      <c r="J11" s="10">
        <f t="shared" si="2"/>
        <v>0</v>
      </c>
      <c r="K11" s="10">
        <f t="shared" si="2"/>
        <v>0</v>
      </c>
      <c r="L11" s="10">
        <f t="shared" si="2"/>
        <v>0</v>
      </c>
      <c r="M11" s="10">
        <f t="shared" si="2"/>
        <v>1</v>
      </c>
      <c r="N11" s="10">
        <f t="shared" si="2"/>
        <v>0</v>
      </c>
      <c r="O11" s="10">
        <f t="shared" si="2"/>
        <v>-1</v>
      </c>
      <c r="P11" s="10">
        <f t="shared" si="2"/>
        <v>0</v>
      </c>
      <c r="Q11" s="10">
        <f t="shared" si="2"/>
        <v>-7.2761241476371197E-14</v>
      </c>
      <c r="R11" s="10">
        <f t="shared" si="2"/>
        <v>21464</v>
      </c>
      <c r="S11" s="71">
        <f t="shared" si="2"/>
        <v>948.89999999999964</v>
      </c>
      <c r="T11" s="10">
        <f t="shared" si="2"/>
        <v>19920</v>
      </c>
      <c r="U11" s="10">
        <f t="shared" si="2"/>
        <v>1535.2999999999975</v>
      </c>
      <c r="V11" s="10">
        <f t="shared" si="2"/>
        <v>0</v>
      </c>
      <c r="W11" s="10">
        <f t="shared" si="2"/>
        <v>-1</v>
      </c>
      <c r="X11" s="10">
        <f t="shared" si="2"/>
        <v>235432</v>
      </c>
      <c r="Y11" s="10">
        <f t="shared" si="2"/>
        <v>12007</v>
      </c>
      <c r="Z11" s="10">
        <f t="shared" si="2"/>
        <v>1015189</v>
      </c>
      <c r="AA11" s="10">
        <f t="shared" si="2"/>
        <v>20977</v>
      </c>
      <c r="AB11" s="10">
        <f t="shared" si="2"/>
        <v>375906</v>
      </c>
      <c r="AC11" s="10">
        <f t="shared" si="2"/>
        <v>5596.8217000000077</v>
      </c>
      <c r="AD11" s="10">
        <f t="shared" si="2"/>
        <v>54615</v>
      </c>
      <c r="AE11" s="10">
        <f t="shared" si="2"/>
        <v>1399.579999999999</v>
      </c>
      <c r="AF11" s="10">
        <f t="shared" si="2"/>
        <v>134422</v>
      </c>
      <c r="AG11" s="10">
        <f t="shared" si="2"/>
        <v>4007</v>
      </c>
      <c r="AH11" s="10">
        <f t="shared" si="2"/>
        <v>116340</v>
      </c>
      <c r="AI11" s="10">
        <f t="shared" si="2"/>
        <v>7335</v>
      </c>
      <c r="AJ11" s="10">
        <f t="shared" si="2"/>
        <v>302</v>
      </c>
      <c r="AK11" s="10">
        <f t="shared" si="2"/>
        <v>107</v>
      </c>
      <c r="AL11" s="10">
        <f t="shared" si="2"/>
        <v>105412</v>
      </c>
      <c r="AM11" s="10">
        <f t="shared" si="2"/>
        <v>1566.7660462000349</v>
      </c>
      <c r="AN11" s="10">
        <f t="shared" si="2"/>
        <v>8654</v>
      </c>
      <c r="AO11" s="10">
        <f t="shared" si="2"/>
        <v>415</v>
      </c>
      <c r="AP11" s="10">
        <f t="shared" si="2"/>
        <v>61191</v>
      </c>
      <c r="AQ11" s="10">
        <f t="shared" si="2"/>
        <v>6790</v>
      </c>
      <c r="AR11" s="10">
        <f t="shared" si="2"/>
        <v>5385</v>
      </c>
      <c r="AS11" s="10">
        <f t="shared" si="2"/>
        <v>351.04999999999984</v>
      </c>
      <c r="AT11" s="10">
        <f t="shared" si="2"/>
        <v>196751</v>
      </c>
      <c r="AU11" s="10">
        <f t="shared" si="2"/>
        <v>9684</v>
      </c>
      <c r="AV11" s="10">
        <f t="shared" si="2"/>
        <v>0</v>
      </c>
      <c r="AW11" s="10">
        <f t="shared" si="2"/>
        <v>1</v>
      </c>
      <c r="AX11" s="10">
        <f t="shared" si="2"/>
        <v>0</v>
      </c>
      <c r="AY11" s="10">
        <f t="shared" si="2"/>
        <v>0</v>
      </c>
      <c r="AZ11" s="10">
        <f t="shared" si="2"/>
        <v>1781</v>
      </c>
      <c r="BA11" s="10">
        <f t="shared" si="2"/>
        <v>38.606700000000274</v>
      </c>
      <c r="BB11" s="10">
        <f t="shared" si="2"/>
        <v>35688</v>
      </c>
      <c r="BC11" s="10">
        <f t="shared" si="2"/>
        <v>6061</v>
      </c>
      <c r="BD11" s="10">
        <f t="shared" si="2"/>
        <v>190177</v>
      </c>
      <c r="BE11" s="10">
        <f t="shared" si="2"/>
        <v>15228</v>
      </c>
      <c r="BF11" s="10">
        <f t="shared" si="2"/>
        <v>0</v>
      </c>
      <c r="BG11" s="10">
        <f t="shared" si="2"/>
        <v>1</v>
      </c>
      <c r="BH11" s="10">
        <f t="shared" si="2"/>
        <v>145311</v>
      </c>
      <c r="BI11" s="10">
        <f t="shared" si="2"/>
        <v>5578.5999999999913</v>
      </c>
      <c r="BJ11" s="10">
        <f t="shared" si="2"/>
        <v>14684</v>
      </c>
      <c r="BK11" s="10">
        <f t="shared" ref="BK11:BM11" si="3">BK12-BK10-BK9-BK8-BK7-BK6-BK5</f>
        <v>13557</v>
      </c>
      <c r="BL11" s="10">
        <f t="shared" si="3"/>
        <v>0</v>
      </c>
      <c r="BM11" s="10">
        <f t="shared" si="3"/>
        <v>0</v>
      </c>
      <c r="BN11" s="11">
        <f t="shared" si="0"/>
        <v>3218800</v>
      </c>
      <c r="BO11" s="11">
        <f t="shared" si="1"/>
        <v>133004.82444620004</v>
      </c>
    </row>
    <row r="12" spans="1:67" s="8" customFormat="1" x14ac:dyDescent="0.25">
      <c r="A12" s="11" t="s">
        <v>128</v>
      </c>
      <c r="B12" s="11">
        <v>321620</v>
      </c>
      <c r="C12" s="11">
        <v>17026</v>
      </c>
      <c r="D12" s="11">
        <v>162466</v>
      </c>
      <c r="E12" s="11">
        <v>36752</v>
      </c>
      <c r="F12" s="11">
        <v>681783</v>
      </c>
      <c r="G12" s="41">
        <v>20700.560000000001</v>
      </c>
      <c r="H12" s="11">
        <v>4236067</v>
      </c>
      <c r="I12" s="11">
        <v>247167</v>
      </c>
      <c r="J12" s="11">
        <v>954257</v>
      </c>
      <c r="K12" s="11">
        <v>42769</v>
      </c>
      <c r="L12" s="11">
        <v>299070</v>
      </c>
      <c r="M12" s="11">
        <v>74355</v>
      </c>
      <c r="N12" s="11">
        <v>1440084</v>
      </c>
      <c r="O12" s="11">
        <v>90049</v>
      </c>
      <c r="P12" s="11">
        <v>551</v>
      </c>
      <c r="Q12" s="11">
        <v>9024</v>
      </c>
      <c r="R12" s="11">
        <v>44473</v>
      </c>
      <c r="S12" s="11">
        <v>6077.65</v>
      </c>
      <c r="T12" s="11">
        <v>656069</v>
      </c>
      <c r="U12" s="11">
        <v>69946.23</v>
      </c>
      <c r="V12" s="11">
        <v>1177054</v>
      </c>
      <c r="W12" s="11">
        <v>78810</v>
      </c>
      <c r="X12" s="11">
        <v>1862870</v>
      </c>
      <c r="Y12" s="11">
        <v>238631.1</v>
      </c>
      <c r="Z12" s="11">
        <v>4082976</v>
      </c>
      <c r="AA12" s="11">
        <v>373296</v>
      </c>
      <c r="AB12" s="11">
        <v>1683062</v>
      </c>
      <c r="AC12" s="11">
        <v>183247.7317</v>
      </c>
      <c r="AD12" s="11">
        <v>441102</v>
      </c>
      <c r="AE12" s="11">
        <v>11898.45</v>
      </c>
      <c r="AF12" s="11">
        <v>505044</v>
      </c>
      <c r="AG12" s="11">
        <v>33696</v>
      </c>
      <c r="AH12" s="11">
        <v>275382</v>
      </c>
      <c r="AI12" s="11">
        <v>29637</v>
      </c>
      <c r="AJ12" s="11">
        <v>76811</v>
      </c>
      <c r="AK12" s="11">
        <v>21118</v>
      </c>
      <c r="AL12" s="11">
        <v>2898632</v>
      </c>
      <c r="AM12" s="11">
        <v>308656.99716890004</v>
      </c>
      <c r="AN12" s="11">
        <v>28727</v>
      </c>
      <c r="AO12" s="11">
        <v>771</v>
      </c>
      <c r="AP12" s="11">
        <v>293080</v>
      </c>
      <c r="AQ12" s="11">
        <v>58478</v>
      </c>
      <c r="AR12" s="11">
        <v>52134</v>
      </c>
      <c r="AS12" s="11">
        <v>8724.84</v>
      </c>
      <c r="AT12" s="11">
        <v>1183616</v>
      </c>
      <c r="AU12" s="11">
        <v>205446</v>
      </c>
      <c r="AV12" s="11">
        <v>383974</v>
      </c>
      <c r="AW12" s="11">
        <v>61932</v>
      </c>
      <c r="AX12" s="11">
        <v>817201</v>
      </c>
      <c r="AY12" s="11">
        <v>116411</v>
      </c>
      <c r="AZ12" s="11">
        <v>787256</v>
      </c>
      <c r="BA12" s="11">
        <v>34429.1567</v>
      </c>
      <c r="BB12" s="11">
        <v>1556033</v>
      </c>
      <c r="BC12" s="11">
        <v>218510</v>
      </c>
      <c r="BD12" s="11">
        <v>1529923</v>
      </c>
      <c r="BE12" s="11">
        <v>207401</v>
      </c>
      <c r="BF12" s="11">
        <v>5326797</v>
      </c>
      <c r="BG12" s="11">
        <v>869885</v>
      </c>
      <c r="BH12" s="11">
        <v>1543800</v>
      </c>
      <c r="BI12" s="11">
        <v>312894.18</v>
      </c>
      <c r="BJ12" s="11">
        <v>2669674</v>
      </c>
      <c r="BK12" s="11">
        <v>367951</v>
      </c>
      <c r="BL12" s="11">
        <v>330338</v>
      </c>
      <c r="BM12" s="11">
        <v>50057</v>
      </c>
      <c r="BN12" s="11">
        <f t="shared" si="0"/>
        <v>38301926</v>
      </c>
      <c r="BO12" s="11">
        <f t="shared" si="1"/>
        <v>4405747.8955688998</v>
      </c>
    </row>
    <row r="13" spans="1:67" x14ac:dyDescent="0.25">
      <c r="A13" s="10" t="s">
        <v>129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71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>
        <v>177</v>
      </c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1">
        <f t="shared" si="0"/>
        <v>177</v>
      </c>
      <c r="BO13" s="11">
        <f t="shared" si="1"/>
        <v>0</v>
      </c>
    </row>
    <row r="14" spans="1:67" s="8" customFormat="1" x14ac:dyDescent="0.25">
      <c r="A14" s="11" t="s">
        <v>130</v>
      </c>
      <c r="B14" s="11">
        <f>B12+B13</f>
        <v>321620</v>
      </c>
      <c r="C14" s="11">
        <f t="shared" ref="C14:BJ14" si="4">C12+C13</f>
        <v>17026</v>
      </c>
      <c r="D14" s="11">
        <f t="shared" si="4"/>
        <v>162466</v>
      </c>
      <c r="E14" s="11">
        <f t="shared" si="4"/>
        <v>36752</v>
      </c>
      <c r="F14" s="11">
        <f t="shared" si="4"/>
        <v>681783</v>
      </c>
      <c r="G14" s="11">
        <f t="shared" si="4"/>
        <v>20700.560000000001</v>
      </c>
      <c r="H14" s="11">
        <f t="shared" si="4"/>
        <v>4236067</v>
      </c>
      <c r="I14" s="11">
        <f t="shared" si="4"/>
        <v>247167</v>
      </c>
      <c r="J14" s="11">
        <f t="shared" si="4"/>
        <v>954257</v>
      </c>
      <c r="K14" s="11">
        <f t="shared" si="4"/>
        <v>42769</v>
      </c>
      <c r="L14" s="11">
        <f t="shared" si="4"/>
        <v>299070</v>
      </c>
      <c r="M14" s="11">
        <f t="shared" si="4"/>
        <v>74355</v>
      </c>
      <c r="N14" s="11">
        <f t="shared" si="4"/>
        <v>1440084</v>
      </c>
      <c r="O14" s="11">
        <f t="shared" si="4"/>
        <v>90049</v>
      </c>
      <c r="P14" s="11">
        <f t="shared" si="4"/>
        <v>551</v>
      </c>
      <c r="Q14" s="11">
        <f t="shared" si="4"/>
        <v>9024</v>
      </c>
      <c r="R14" s="11">
        <f t="shared" si="4"/>
        <v>44473</v>
      </c>
      <c r="S14" s="11">
        <f t="shared" si="4"/>
        <v>6077.65</v>
      </c>
      <c r="T14" s="11">
        <f t="shared" si="4"/>
        <v>656069</v>
      </c>
      <c r="U14" s="11">
        <f t="shared" si="4"/>
        <v>69946.23</v>
      </c>
      <c r="V14" s="11">
        <f t="shared" si="4"/>
        <v>1177054</v>
      </c>
      <c r="W14" s="11">
        <f t="shared" si="4"/>
        <v>78810</v>
      </c>
      <c r="X14" s="11">
        <f t="shared" si="4"/>
        <v>1862870</v>
      </c>
      <c r="Y14" s="11">
        <f t="shared" si="4"/>
        <v>238631.1</v>
      </c>
      <c r="Z14" s="11">
        <f t="shared" si="4"/>
        <v>4082976</v>
      </c>
      <c r="AA14" s="11">
        <f t="shared" si="4"/>
        <v>373296</v>
      </c>
      <c r="AB14" s="11">
        <f t="shared" si="4"/>
        <v>1683062</v>
      </c>
      <c r="AC14" s="11">
        <f t="shared" si="4"/>
        <v>183247.7317</v>
      </c>
      <c r="AD14" s="11">
        <f t="shared" si="4"/>
        <v>441102</v>
      </c>
      <c r="AE14" s="11">
        <f t="shared" si="4"/>
        <v>11898.45</v>
      </c>
      <c r="AF14" s="11">
        <f t="shared" si="4"/>
        <v>505044</v>
      </c>
      <c r="AG14" s="11">
        <f t="shared" si="4"/>
        <v>33696</v>
      </c>
      <c r="AH14" s="11">
        <f t="shared" si="4"/>
        <v>275382</v>
      </c>
      <c r="AI14" s="11">
        <f t="shared" si="4"/>
        <v>29637</v>
      </c>
      <c r="AJ14" s="11">
        <f t="shared" si="4"/>
        <v>76811</v>
      </c>
      <c r="AK14" s="11">
        <f t="shared" si="4"/>
        <v>21118</v>
      </c>
      <c r="AL14" s="11">
        <f t="shared" si="4"/>
        <v>2898632</v>
      </c>
      <c r="AM14" s="11">
        <f t="shared" si="4"/>
        <v>308656.99716890004</v>
      </c>
      <c r="AN14" s="11">
        <f t="shared" si="4"/>
        <v>28727</v>
      </c>
      <c r="AO14" s="11">
        <f t="shared" si="4"/>
        <v>771</v>
      </c>
      <c r="AP14" s="11">
        <f t="shared" si="4"/>
        <v>293080</v>
      </c>
      <c r="AQ14" s="11">
        <f t="shared" si="4"/>
        <v>58478</v>
      </c>
      <c r="AR14" s="11">
        <f t="shared" si="4"/>
        <v>52134</v>
      </c>
      <c r="AS14" s="11">
        <f t="shared" si="4"/>
        <v>8724.84</v>
      </c>
      <c r="AT14" s="11">
        <f t="shared" si="4"/>
        <v>1183616</v>
      </c>
      <c r="AU14" s="11">
        <f t="shared" si="4"/>
        <v>205446</v>
      </c>
      <c r="AV14" s="11">
        <f t="shared" si="4"/>
        <v>383974</v>
      </c>
      <c r="AW14" s="11">
        <f t="shared" si="4"/>
        <v>61932</v>
      </c>
      <c r="AX14" s="11">
        <f t="shared" si="4"/>
        <v>817378</v>
      </c>
      <c r="AY14" s="11">
        <f t="shared" si="4"/>
        <v>116411</v>
      </c>
      <c r="AZ14" s="11">
        <f t="shared" si="4"/>
        <v>787256</v>
      </c>
      <c r="BA14" s="11">
        <f t="shared" si="4"/>
        <v>34429.1567</v>
      </c>
      <c r="BB14" s="11">
        <f t="shared" si="4"/>
        <v>1556033</v>
      </c>
      <c r="BC14" s="11">
        <f t="shared" si="4"/>
        <v>218510</v>
      </c>
      <c r="BD14" s="11">
        <f t="shared" si="4"/>
        <v>1529923</v>
      </c>
      <c r="BE14" s="11">
        <f t="shared" si="4"/>
        <v>207401</v>
      </c>
      <c r="BF14" s="11">
        <f t="shared" si="4"/>
        <v>5326797</v>
      </c>
      <c r="BG14" s="11">
        <f t="shared" si="4"/>
        <v>869885</v>
      </c>
      <c r="BH14" s="11">
        <f t="shared" si="4"/>
        <v>1543800</v>
      </c>
      <c r="BI14" s="11">
        <f t="shared" si="4"/>
        <v>312894.18</v>
      </c>
      <c r="BJ14" s="11">
        <f t="shared" si="4"/>
        <v>2669674</v>
      </c>
      <c r="BK14" s="11">
        <f t="shared" ref="BK14:BM14" si="5">BK12+BK13</f>
        <v>367951</v>
      </c>
      <c r="BL14" s="11">
        <f t="shared" si="5"/>
        <v>330338</v>
      </c>
      <c r="BM14" s="11">
        <f t="shared" si="5"/>
        <v>50057</v>
      </c>
      <c r="BN14" s="11">
        <f t="shared" si="0"/>
        <v>38302103</v>
      </c>
      <c r="BO14" s="11">
        <f t="shared" si="1"/>
        <v>4405747.8955688998</v>
      </c>
    </row>
  </sheetData>
  <mergeCells count="33">
    <mergeCell ref="B3:C3"/>
    <mergeCell ref="D3:E3"/>
    <mergeCell ref="F3:G3"/>
    <mergeCell ref="H3:I3"/>
    <mergeCell ref="J3:K3"/>
    <mergeCell ref="L3:M3"/>
    <mergeCell ref="N3:O3"/>
    <mergeCell ref="P3:Q3"/>
    <mergeCell ref="BN3:BO3"/>
    <mergeCell ref="BL3:BM3"/>
    <mergeCell ref="BJ3:BK3"/>
    <mergeCell ref="BH3:BI3"/>
    <mergeCell ref="BF3:BG3"/>
    <mergeCell ref="AR3:AS3"/>
    <mergeCell ref="R3:S3"/>
    <mergeCell ref="T3:U3"/>
    <mergeCell ref="V3:W3"/>
    <mergeCell ref="X3:Y3"/>
    <mergeCell ref="Z3:AA3"/>
    <mergeCell ref="AB3:AC3"/>
    <mergeCell ref="BD3:BE3"/>
    <mergeCell ref="AT3:AU3"/>
    <mergeCell ref="AV3:AW3"/>
    <mergeCell ref="AX3:AY3"/>
    <mergeCell ref="AZ3:BA3"/>
    <mergeCell ref="BB3:BC3"/>
    <mergeCell ref="AH3:AI3"/>
    <mergeCell ref="AN3:AO3"/>
    <mergeCell ref="AL3:AM3"/>
    <mergeCell ref="AP3:AQ3"/>
    <mergeCell ref="AD3:AE3"/>
    <mergeCell ref="AF3:AG3"/>
    <mergeCell ref="AJ3:A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7" customWidth="1"/>
    <col min="2" max="33" width="16" style="7" customWidth="1"/>
    <col min="34" max="34" width="16" style="8" customWidth="1"/>
    <col min="35" max="16384" width="9.140625" style="7"/>
  </cols>
  <sheetData>
    <row r="1" spans="1:34" ht="18.75" x14ac:dyDescent="0.3">
      <c r="A1" s="17" t="s">
        <v>309</v>
      </c>
    </row>
    <row r="2" spans="1:34" x14ac:dyDescent="0.25">
      <c r="A2" s="6" t="s">
        <v>40</v>
      </c>
    </row>
    <row r="3" spans="1:34" x14ac:dyDescent="0.25">
      <c r="A3" s="3" t="s">
        <v>0</v>
      </c>
      <c r="B3" s="89" t="s">
        <v>1</v>
      </c>
      <c r="C3" s="89" t="s">
        <v>290</v>
      </c>
      <c r="D3" s="89" t="s">
        <v>3</v>
      </c>
      <c r="E3" s="89" t="s">
        <v>4</v>
      </c>
      <c r="F3" s="89" t="s">
        <v>5</v>
      </c>
      <c r="G3" s="89" t="s">
        <v>291</v>
      </c>
      <c r="H3" s="89" t="s">
        <v>292</v>
      </c>
      <c r="I3" s="89" t="s">
        <v>8</v>
      </c>
      <c r="J3" s="89" t="s">
        <v>7</v>
      </c>
      <c r="K3" s="89" t="s">
        <v>9</v>
      </c>
      <c r="L3" s="89" t="s">
        <v>288</v>
      </c>
      <c r="M3" s="89" t="s">
        <v>11</v>
      </c>
      <c r="N3" s="89" t="s">
        <v>12</v>
      </c>
      <c r="O3" s="89" t="s">
        <v>13</v>
      </c>
      <c r="P3" s="89" t="s">
        <v>14</v>
      </c>
      <c r="Q3" s="89" t="s">
        <v>15</v>
      </c>
      <c r="R3" s="89" t="s">
        <v>16</v>
      </c>
      <c r="S3" s="89" t="s">
        <v>293</v>
      </c>
      <c r="T3" s="92" t="s">
        <v>17</v>
      </c>
      <c r="U3" s="92" t="s">
        <v>294</v>
      </c>
      <c r="V3" s="89" t="s">
        <v>313</v>
      </c>
      <c r="W3" s="92" t="s">
        <v>289</v>
      </c>
      <c r="X3" s="89" t="s">
        <v>295</v>
      </c>
      <c r="Y3" s="89" t="s">
        <v>20</v>
      </c>
      <c r="Z3" s="89" t="s">
        <v>21</v>
      </c>
      <c r="AA3" s="89" t="s">
        <v>22</v>
      </c>
      <c r="AB3" s="89" t="s">
        <v>23</v>
      </c>
      <c r="AC3" s="89" t="s">
        <v>24</v>
      </c>
      <c r="AD3" s="88" t="s">
        <v>296</v>
      </c>
      <c r="AE3" s="88" t="s">
        <v>297</v>
      </c>
      <c r="AF3" s="88" t="s">
        <v>25</v>
      </c>
      <c r="AG3" s="89" t="s">
        <v>26</v>
      </c>
      <c r="AH3" s="85" t="s">
        <v>27</v>
      </c>
    </row>
    <row r="4" spans="1:34" x14ac:dyDescent="0.25">
      <c r="A4" s="3" t="s">
        <v>260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1"/>
    </row>
    <row r="5" spans="1:34" x14ac:dyDescent="0.25">
      <c r="A5" s="2" t="s">
        <v>261</v>
      </c>
      <c r="B5" s="10">
        <v>-61</v>
      </c>
      <c r="C5" s="10"/>
      <c r="D5" s="10"/>
      <c r="E5" s="10">
        <v>583656</v>
      </c>
      <c r="F5" s="10">
        <v>-71852</v>
      </c>
      <c r="G5" s="10"/>
      <c r="H5" s="10">
        <v>97907</v>
      </c>
      <c r="I5" s="10"/>
      <c r="J5" s="10">
        <v>-633</v>
      </c>
      <c r="K5" s="10">
        <v>-135117</v>
      </c>
      <c r="L5" s="10">
        <v>-188329</v>
      </c>
      <c r="M5" s="10">
        <v>-124227</v>
      </c>
      <c r="N5" s="10">
        <v>672996</v>
      </c>
      <c r="O5" s="10">
        <v>121963</v>
      </c>
      <c r="P5" s="10">
        <v>34533</v>
      </c>
      <c r="Q5" s="10">
        <v>38948</v>
      </c>
      <c r="R5" s="10">
        <v>-132864</v>
      </c>
      <c r="S5" s="10"/>
      <c r="T5" s="10">
        <v>-751575</v>
      </c>
      <c r="U5" s="10">
        <v>66575</v>
      </c>
      <c r="V5" s="10"/>
      <c r="W5" s="10">
        <v>-21825</v>
      </c>
      <c r="X5" s="10">
        <v>159157</v>
      </c>
      <c r="Y5" s="10">
        <v>124003</v>
      </c>
      <c r="Z5" s="10">
        <v>75856</v>
      </c>
      <c r="AA5" s="10"/>
      <c r="AB5" s="10"/>
      <c r="AC5" s="10">
        <v>104558</v>
      </c>
      <c r="AD5" s="38">
        <v>2376571</v>
      </c>
      <c r="AE5" s="10">
        <v>787097</v>
      </c>
      <c r="AF5" s="10">
        <v>-1683971</v>
      </c>
      <c r="AG5" s="10">
        <v>94657</v>
      </c>
      <c r="AH5" s="11">
        <f>SUM(B5:AG5)</f>
        <v>2228023</v>
      </c>
    </row>
    <row r="6" spans="1:34" x14ac:dyDescent="0.25">
      <c r="A6" s="2" t="s">
        <v>262</v>
      </c>
      <c r="B6" s="10"/>
      <c r="C6" s="10"/>
      <c r="D6" s="10"/>
      <c r="E6" s="10">
        <v>-8186</v>
      </c>
      <c r="F6" s="10">
        <v>-24383</v>
      </c>
      <c r="G6" s="10"/>
      <c r="H6" s="10">
        <v>12471</v>
      </c>
      <c r="I6" s="10"/>
      <c r="J6" s="10">
        <v>-1866</v>
      </c>
      <c r="K6" s="10">
        <v>36541</v>
      </c>
      <c r="L6" s="10">
        <v>2254</v>
      </c>
      <c r="M6" s="10">
        <v>-119735</v>
      </c>
      <c r="N6" s="10">
        <v>-76460</v>
      </c>
      <c r="O6" s="10">
        <v>4625</v>
      </c>
      <c r="P6" s="10">
        <v>-249</v>
      </c>
      <c r="Q6" s="10">
        <v>-33135</v>
      </c>
      <c r="R6" s="10">
        <v>-2308</v>
      </c>
      <c r="S6" s="10"/>
      <c r="T6" s="10">
        <v>285834</v>
      </c>
      <c r="U6" s="10"/>
      <c r="V6" s="10"/>
      <c r="W6" s="10">
        <v>29</v>
      </c>
      <c r="X6" s="10">
        <v>-19881</v>
      </c>
      <c r="Y6" s="10">
        <v>11535</v>
      </c>
      <c r="Z6" s="10">
        <v>-121613</v>
      </c>
      <c r="AA6" s="10"/>
      <c r="AB6" s="10"/>
      <c r="AC6" s="10">
        <v>56298</v>
      </c>
      <c r="AD6" s="38">
        <v>265416</v>
      </c>
      <c r="AE6" s="10">
        <v>-77401</v>
      </c>
      <c r="AF6" s="10">
        <v>29678</v>
      </c>
      <c r="AG6" s="10">
        <v>8135</v>
      </c>
      <c r="AH6" s="11">
        <f>SUM(B6:AG6)</f>
        <v>227599</v>
      </c>
    </row>
    <row r="7" spans="1:34" x14ac:dyDescent="0.25">
      <c r="A7" s="2" t="s">
        <v>263</v>
      </c>
      <c r="B7" s="10">
        <v>-1198746</v>
      </c>
      <c r="C7" s="10">
        <v>-1328780</v>
      </c>
      <c r="D7">
        <v>1029533</v>
      </c>
      <c r="E7" s="10">
        <v>3304572</v>
      </c>
      <c r="F7" s="10">
        <v>673156</v>
      </c>
      <c r="G7" s="10">
        <v>-2052500</v>
      </c>
      <c r="H7" s="10">
        <v>1168481</v>
      </c>
      <c r="I7" s="10">
        <v>-740572.65</v>
      </c>
      <c r="J7" s="10">
        <v>-312576</v>
      </c>
      <c r="K7" s="10">
        <v>103396</v>
      </c>
      <c r="L7" s="10">
        <v>247361</v>
      </c>
      <c r="M7" s="10">
        <v>-556523</v>
      </c>
      <c r="N7" s="10">
        <v>-266875</v>
      </c>
      <c r="O7" s="10">
        <v>-16346</v>
      </c>
      <c r="P7" s="10">
        <v>-110585</v>
      </c>
      <c r="Q7" s="10">
        <v>116586</v>
      </c>
      <c r="R7" s="10">
        <v>269366</v>
      </c>
      <c r="S7" s="10">
        <v>-1030753</v>
      </c>
      <c r="T7" s="10">
        <v>-6023686</v>
      </c>
      <c r="U7" s="10">
        <v>-4371</v>
      </c>
      <c r="V7" s="10">
        <v>-961246</v>
      </c>
      <c r="W7" s="10">
        <v>-170725</v>
      </c>
      <c r="X7" s="10">
        <v>730086</v>
      </c>
      <c r="Y7" s="10">
        <v>426392</v>
      </c>
      <c r="Z7" s="10">
        <v>439129</v>
      </c>
      <c r="AA7" s="10"/>
      <c r="AB7" s="10">
        <v>-3270553</v>
      </c>
      <c r="AC7" s="10">
        <v>2199136</v>
      </c>
      <c r="AD7" s="38">
        <v>-4466159</v>
      </c>
      <c r="AE7" s="10">
        <v>-6860425</v>
      </c>
      <c r="AF7" s="10">
        <v>-4857728</v>
      </c>
      <c r="AG7" s="10">
        <v>356977</v>
      </c>
      <c r="AH7" s="11">
        <f>SUM(B7:AG7)</f>
        <v>-23164978.649999999</v>
      </c>
    </row>
    <row r="8" spans="1:34" x14ac:dyDescent="0.25">
      <c r="A8" s="3" t="s">
        <v>264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1"/>
    </row>
    <row r="9" spans="1:34" x14ac:dyDescent="0.25">
      <c r="A9" s="2" t="s">
        <v>265</v>
      </c>
      <c r="B9" s="10">
        <v>17183</v>
      </c>
      <c r="C9" s="10">
        <v>53263</v>
      </c>
      <c r="D9" s="38">
        <v>562880</v>
      </c>
      <c r="E9" s="10">
        <v>774629</v>
      </c>
      <c r="F9" s="10">
        <v>169255</v>
      </c>
      <c r="G9" s="10">
        <v>151568</v>
      </c>
      <c r="H9" s="10">
        <v>188954</v>
      </c>
      <c r="I9" s="10">
        <v>1020754.44</v>
      </c>
      <c r="J9" s="10">
        <v>10633</v>
      </c>
      <c r="K9" s="10">
        <f>199297-4942</f>
        <v>194355</v>
      </c>
      <c r="L9" s="10">
        <v>181942</v>
      </c>
      <c r="M9" s="10">
        <v>488352</v>
      </c>
      <c r="N9" s="10">
        <v>1167847</v>
      </c>
      <c r="O9" s="10">
        <v>560359</v>
      </c>
      <c r="P9" s="10">
        <v>28411</v>
      </c>
      <c r="Q9" s="10">
        <v>149891</v>
      </c>
      <c r="R9" s="10">
        <v>54568</v>
      </c>
      <c r="S9" s="10">
        <v>38215</v>
      </c>
      <c r="T9" s="10">
        <v>98146</v>
      </c>
      <c r="U9" s="10">
        <v>40283</v>
      </c>
      <c r="V9" s="10">
        <v>83255</v>
      </c>
      <c r="W9" s="10">
        <v>28367</v>
      </c>
      <c r="X9" s="10">
        <v>355206</v>
      </c>
      <c r="Y9" s="10">
        <v>204227</v>
      </c>
      <c r="Z9" s="10">
        <v>279511</v>
      </c>
      <c r="AA9" s="10">
        <v>250131</v>
      </c>
      <c r="AB9" s="10">
        <v>545698</v>
      </c>
      <c r="AC9" s="10">
        <v>507663</v>
      </c>
      <c r="AD9" s="38">
        <v>2745201</v>
      </c>
      <c r="AE9" s="10">
        <v>241963</v>
      </c>
      <c r="AF9" s="10">
        <v>538988</v>
      </c>
      <c r="AG9" s="10">
        <v>59511</v>
      </c>
      <c r="AH9" s="11">
        <f t="shared" ref="AH9:AH15" si="0">SUM(B9:AG9)</f>
        <v>11791209.439999999</v>
      </c>
    </row>
    <row r="10" spans="1:34" x14ac:dyDescent="0.25">
      <c r="A10" s="2" t="s">
        <v>266</v>
      </c>
      <c r="B10" s="10">
        <v>2803</v>
      </c>
      <c r="C10" s="10">
        <v>14428</v>
      </c>
      <c r="D10" s="38">
        <v>6661</v>
      </c>
      <c r="E10" s="10">
        <v>486385</v>
      </c>
      <c r="F10" s="10">
        <v>146852</v>
      </c>
      <c r="G10" s="10">
        <v>2470</v>
      </c>
      <c r="H10" s="10">
        <v>31173</v>
      </c>
      <c r="I10" s="10">
        <v>152726.54999999999</v>
      </c>
      <c r="J10" s="10">
        <v>8079</v>
      </c>
      <c r="K10" s="10">
        <v>10171</v>
      </c>
      <c r="L10" s="10">
        <v>19880</v>
      </c>
      <c r="M10" s="10">
        <v>57766</v>
      </c>
      <c r="N10" s="10">
        <v>572499</v>
      </c>
      <c r="O10" s="10">
        <v>4985</v>
      </c>
      <c r="P10" s="10">
        <v>1068</v>
      </c>
      <c r="Q10" s="10">
        <v>1626</v>
      </c>
      <c r="R10" s="10">
        <v>3902</v>
      </c>
      <c r="S10" s="10">
        <v>10559</v>
      </c>
      <c r="T10" s="10">
        <v>41675</v>
      </c>
      <c r="U10" s="10">
        <v>9794</v>
      </c>
      <c r="V10" s="10">
        <v>8294</v>
      </c>
      <c r="W10" s="10">
        <v>377</v>
      </c>
      <c r="X10" s="10">
        <v>57177</v>
      </c>
      <c r="Y10" s="10">
        <v>101157</v>
      </c>
      <c r="Z10" s="10">
        <v>401605</v>
      </c>
      <c r="AA10" s="10"/>
      <c r="AB10" s="10">
        <v>11511</v>
      </c>
      <c r="AC10" s="10">
        <v>268331</v>
      </c>
      <c r="AD10" s="38">
        <v>1177742</v>
      </c>
      <c r="AE10" s="10">
        <v>108729</v>
      </c>
      <c r="AF10" s="10">
        <v>98373</v>
      </c>
      <c r="AG10" s="10">
        <v>4349</v>
      </c>
      <c r="AH10" s="11">
        <f t="shared" si="0"/>
        <v>3823147.55</v>
      </c>
    </row>
    <row r="11" spans="1:34" x14ac:dyDescent="0.25">
      <c r="A11" s="2" t="s">
        <v>267</v>
      </c>
      <c r="B11" s="10">
        <v>-1046</v>
      </c>
      <c r="C11" s="10">
        <v>-4</v>
      </c>
      <c r="D11" s="10"/>
      <c r="E11" s="10">
        <v>-30725</v>
      </c>
      <c r="F11" s="10"/>
      <c r="G11" s="10"/>
      <c r="H11" s="10"/>
      <c r="I11" s="10"/>
      <c r="J11" s="10"/>
      <c r="K11" s="10">
        <v>-148</v>
      </c>
      <c r="L11" s="10">
        <v>-2010</v>
      </c>
      <c r="M11" s="10"/>
      <c r="N11" s="10">
        <v>-68491</v>
      </c>
      <c r="O11" s="10"/>
      <c r="P11" s="10">
        <v>-889</v>
      </c>
      <c r="Q11" s="10"/>
      <c r="R11" s="10">
        <v>-216</v>
      </c>
      <c r="S11" s="10"/>
      <c r="T11" s="10"/>
      <c r="U11" s="10"/>
      <c r="V11" s="10"/>
      <c r="W11" s="10"/>
      <c r="X11" s="10">
        <v>-79</v>
      </c>
      <c r="Y11" s="10">
        <v>-10202</v>
      </c>
      <c r="Z11" s="10">
        <v>-31278</v>
      </c>
      <c r="AA11" s="10"/>
      <c r="AB11" s="10"/>
      <c r="AC11" s="10">
        <v>-3849</v>
      </c>
      <c r="AD11" s="10"/>
      <c r="AE11" s="10"/>
      <c r="AF11" s="10"/>
      <c r="AG11" s="10"/>
      <c r="AH11" s="11">
        <f t="shared" si="0"/>
        <v>-148937</v>
      </c>
    </row>
    <row r="12" spans="1:34" ht="15" customHeight="1" x14ac:dyDescent="0.25">
      <c r="A12" s="2" t="s">
        <v>268</v>
      </c>
      <c r="B12" s="10"/>
      <c r="C12" s="10">
        <v>-4819</v>
      </c>
      <c r="D12">
        <v>5964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1">
        <f t="shared" si="0"/>
        <v>1145</v>
      </c>
    </row>
    <row r="13" spans="1:34" x14ac:dyDescent="0.25">
      <c r="A13" s="10" t="s">
        <v>269</v>
      </c>
      <c r="B13" s="10"/>
      <c r="C13" s="10"/>
      <c r="D13"/>
      <c r="E13" s="10">
        <v>-84287</v>
      </c>
      <c r="F13" s="10">
        <v>-5164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>
        <v>-1801</v>
      </c>
      <c r="W13" s="10"/>
      <c r="X13" s="10"/>
      <c r="Y13" s="10"/>
      <c r="Z13" s="10"/>
      <c r="AA13" s="10">
        <v>-8542</v>
      </c>
      <c r="AB13" s="10"/>
      <c r="AC13" s="10"/>
      <c r="AD13" s="10"/>
      <c r="AE13" s="10"/>
      <c r="AF13" s="10"/>
      <c r="AG13" s="10">
        <v>-6522</v>
      </c>
      <c r="AH13" s="11">
        <f t="shared" si="0"/>
        <v>-106316</v>
      </c>
    </row>
    <row r="14" spans="1:34" x14ac:dyDescent="0.25">
      <c r="A14" s="3" t="s">
        <v>270</v>
      </c>
      <c r="B14" s="10">
        <f>B15-B13-B12-B11-B10-B9-B7-B6-B5</f>
        <v>0</v>
      </c>
      <c r="C14" s="10">
        <f t="shared" ref="C14:AG14" si="1">C15-C13-C12-C11-C10-C9-C7-C6-C5</f>
        <v>0</v>
      </c>
      <c r="D14" s="10">
        <f t="shared" si="1"/>
        <v>2366</v>
      </c>
      <c r="E14" s="10">
        <f t="shared" si="1"/>
        <v>0</v>
      </c>
      <c r="F14" s="10">
        <f t="shared" si="1"/>
        <v>33173</v>
      </c>
      <c r="G14" s="10">
        <f t="shared" si="1"/>
        <v>0</v>
      </c>
      <c r="H14" s="10">
        <f t="shared" si="1"/>
        <v>0</v>
      </c>
      <c r="I14" s="10">
        <f t="shared" si="1"/>
        <v>11126.900000000023</v>
      </c>
      <c r="J14" s="10">
        <f t="shared" si="1"/>
        <v>0</v>
      </c>
      <c r="K14" s="10">
        <f t="shared" si="1"/>
        <v>0</v>
      </c>
      <c r="L14" s="10">
        <f t="shared" si="1"/>
        <v>0</v>
      </c>
      <c r="M14" s="10">
        <f t="shared" si="1"/>
        <v>0</v>
      </c>
      <c r="N14" s="10">
        <f t="shared" si="1"/>
        <v>80</v>
      </c>
      <c r="O14" s="10">
        <f t="shared" si="1"/>
        <v>3318</v>
      </c>
      <c r="P14" s="10">
        <f t="shared" si="1"/>
        <v>327</v>
      </c>
      <c r="Q14" s="10">
        <f t="shared" si="1"/>
        <v>0</v>
      </c>
      <c r="R14" s="10">
        <f t="shared" si="1"/>
        <v>250</v>
      </c>
      <c r="S14" s="10">
        <f t="shared" si="1"/>
        <v>0</v>
      </c>
      <c r="T14" s="10">
        <f t="shared" si="1"/>
        <v>86992</v>
      </c>
      <c r="U14" s="10">
        <f t="shared" si="1"/>
        <v>23</v>
      </c>
      <c r="V14" s="10">
        <f t="shared" si="1"/>
        <v>-750</v>
      </c>
      <c r="W14" s="10">
        <f t="shared" si="1"/>
        <v>175</v>
      </c>
      <c r="X14" s="10">
        <f t="shared" si="1"/>
        <v>29301</v>
      </c>
      <c r="Y14" s="10">
        <f t="shared" si="1"/>
        <v>54</v>
      </c>
      <c r="Z14" s="10">
        <f t="shared" si="1"/>
        <v>101</v>
      </c>
      <c r="AA14" s="10"/>
      <c r="AB14" s="10">
        <f t="shared" si="1"/>
        <v>408</v>
      </c>
      <c r="AC14" s="10">
        <f t="shared" si="1"/>
        <v>6170</v>
      </c>
      <c r="AD14" s="10">
        <f t="shared" si="1"/>
        <v>23213</v>
      </c>
      <c r="AE14" s="10">
        <f t="shared" si="1"/>
        <v>30881</v>
      </c>
      <c r="AF14" s="10">
        <f t="shared" si="1"/>
        <v>3083</v>
      </c>
      <c r="AG14" s="10">
        <f t="shared" si="1"/>
        <v>0</v>
      </c>
      <c r="AH14" s="11">
        <f t="shared" si="0"/>
        <v>230291.90000000002</v>
      </c>
    </row>
    <row r="15" spans="1:34" s="8" customFormat="1" x14ac:dyDescent="0.25">
      <c r="A15" s="3" t="s">
        <v>32</v>
      </c>
      <c r="B15" s="11">
        <v>-1179867</v>
      </c>
      <c r="C15" s="11">
        <v>-1265912</v>
      </c>
      <c r="D15" s="11">
        <v>1607404</v>
      </c>
      <c r="E15" s="11">
        <v>5026044</v>
      </c>
      <c r="F15" s="11">
        <v>921037</v>
      </c>
      <c r="G15" s="11">
        <v>-1898462</v>
      </c>
      <c r="H15" s="11">
        <v>1498986</v>
      </c>
      <c r="I15" s="11">
        <v>444035.24</v>
      </c>
      <c r="J15" s="11">
        <v>-296363</v>
      </c>
      <c r="K15" s="11">
        <v>209198</v>
      </c>
      <c r="L15" s="11">
        <v>261098</v>
      </c>
      <c r="M15" s="11">
        <v>-254367</v>
      </c>
      <c r="N15" s="11">
        <v>2001596</v>
      </c>
      <c r="O15" s="11">
        <v>678904</v>
      </c>
      <c r="P15" s="11">
        <v>-47384</v>
      </c>
      <c r="Q15" s="11">
        <v>273916</v>
      </c>
      <c r="R15" s="11">
        <v>192698</v>
      </c>
      <c r="S15" s="11">
        <v>-981979</v>
      </c>
      <c r="T15" s="11">
        <v>-6262614</v>
      </c>
      <c r="U15" s="11">
        <v>112304</v>
      </c>
      <c r="V15" s="11">
        <v>-872248</v>
      </c>
      <c r="W15" s="11">
        <v>-163602</v>
      </c>
      <c r="X15" s="11">
        <v>1310967</v>
      </c>
      <c r="Y15" s="11">
        <v>857166</v>
      </c>
      <c r="Z15" s="11">
        <v>1043311</v>
      </c>
      <c r="AA15" s="11"/>
      <c r="AB15" s="11">
        <v>-2712936</v>
      </c>
      <c r="AC15" s="11">
        <v>3138307</v>
      </c>
      <c r="AD15" s="11">
        <v>2121984</v>
      </c>
      <c r="AE15" s="11">
        <v>-5769156</v>
      </c>
      <c r="AF15" s="11">
        <v>-5871577</v>
      </c>
      <c r="AG15" s="11">
        <v>517107</v>
      </c>
      <c r="AH15" s="11">
        <f t="shared" si="0"/>
        <v>-5360404.76</v>
      </c>
    </row>
    <row r="16" spans="1:34" x14ac:dyDescent="0.25">
      <c r="A16" s="3" t="s">
        <v>271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1"/>
    </row>
    <row r="17" spans="1:34" x14ac:dyDescent="0.25">
      <c r="A17" s="2" t="s">
        <v>272</v>
      </c>
      <c r="B17" s="10"/>
      <c r="C17" s="10"/>
      <c r="D17" s="10"/>
      <c r="E17" s="10"/>
      <c r="F17" s="10">
        <v>33750</v>
      </c>
      <c r="G17" s="10"/>
      <c r="H17" s="10">
        <v>2850</v>
      </c>
      <c r="I17" s="10"/>
      <c r="J17" s="10"/>
      <c r="K17" s="10">
        <v>144</v>
      </c>
      <c r="L17" s="10"/>
      <c r="M17" s="10">
        <v>-55151</v>
      </c>
      <c r="N17" s="10">
        <v>-341323</v>
      </c>
      <c r="O17" s="10"/>
      <c r="P17" s="10"/>
      <c r="Q17" s="10"/>
      <c r="R17" s="10"/>
      <c r="S17" s="10"/>
      <c r="T17" s="10">
        <v>-288</v>
      </c>
      <c r="U17" s="10"/>
      <c r="V17" s="10"/>
      <c r="W17" s="10"/>
      <c r="X17" s="10"/>
      <c r="Y17" s="10"/>
      <c r="Z17" s="10"/>
      <c r="AA17" s="10"/>
      <c r="AB17" s="10"/>
      <c r="AC17" s="10"/>
      <c r="AD17" s="10">
        <v>66791</v>
      </c>
      <c r="AE17" s="10"/>
      <c r="AF17" s="10">
        <v>24667</v>
      </c>
      <c r="AG17" s="10"/>
      <c r="AH17" s="11">
        <f t="shared" ref="AH17:AH24" si="2">SUM(B17:AG17)</f>
        <v>-268560</v>
      </c>
    </row>
    <row r="18" spans="1:34" x14ac:dyDescent="0.25">
      <c r="A18" s="2" t="s">
        <v>273</v>
      </c>
      <c r="B18" s="10"/>
      <c r="C18" s="10"/>
      <c r="D18" s="10"/>
      <c r="E18" s="10">
        <v>-12499</v>
      </c>
      <c r="F18" s="10"/>
      <c r="G18" s="10"/>
      <c r="H18" s="10"/>
      <c r="I18" s="10"/>
      <c r="J18" s="10"/>
      <c r="K18" s="10">
        <v>7926</v>
      </c>
      <c r="L18" s="10"/>
      <c r="M18" s="10"/>
      <c r="N18" s="10">
        <v>2844</v>
      </c>
      <c r="O18" s="10"/>
      <c r="P18" s="10">
        <v>6</v>
      </c>
      <c r="Q18" s="10"/>
      <c r="R18" s="10">
        <v>3651</v>
      </c>
      <c r="S18" s="10">
        <v>2275</v>
      </c>
      <c r="T18" s="10">
        <v>-355231</v>
      </c>
      <c r="U18" s="10"/>
      <c r="V18" s="10">
        <v>6632</v>
      </c>
      <c r="W18" s="10"/>
      <c r="X18" s="10"/>
      <c r="Y18" s="10">
        <v>7596</v>
      </c>
      <c r="Z18" s="10"/>
      <c r="AA18" s="10">
        <v>82</v>
      </c>
      <c r="AB18" s="10">
        <v>233</v>
      </c>
      <c r="AC18" s="10">
        <v>-1017</v>
      </c>
      <c r="AD18" s="10">
        <v>2257</v>
      </c>
      <c r="AE18" s="10"/>
      <c r="AF18" s="10">
        <v>48785</v>
      </c>
      <c r="AG18" s="10"/>
      <c r="AH18" s="11">
        <f t="shared" si="2"/>
        <v>-286460</v>
      </c>
    </row>
    <row r="19" spans="1:34" x14ac:dyDescent="0.25">
      <c r="A19" s="2" t="s">
        <v>55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>
        <v>-33</v>
      </c>
      <c r="S19" s="10"/>
      <c r="T19" s="10"/>
      <c r="U19" s="10"/>
      <c r="V19" s="10"/>
      <c r="W19" s="10"/>
      <c r="X19" s="10"/>
      <c r="Y19" s="10">
        <v>-10481</v>
      </c>
      <c r="Z19" s="10"/>
      <c r="AA19" s="10"/>
      <c r="AB19" s="10"/>
      <c r="AC19" s="10"/>
      <c r="AD19" s="10"/>
      <c r="AE19" s="10">
        <v>10292</v>
      </c>
      <c r="AF19" s="10"/>
      <c r="AG19" s="10"/>
      <c r="AH19" s="11">
        <f t="shared" si="2"/>
        <v>-222</v>
      </c>
    </row>
    <row r="20" spans="1:34" x14ac:dyDescent="0.25">
      <c r="A20" s="3" t="s">
        <v>274</v>
      </c>
      <c r="B20" s="10">
        <f>B21-B19-B18-B17</f>
        <v>2128</v>
      </c>
      <c r="C20" s="10">
        <f t="shared" ref="C20:AG20" si="3">C21-C19-C18-C17</f>
        <v>4396</v>
      </c>
      <c r="D20" s="10">
        <f t="shared" si="3"/>
        <v>17408</v>
      </c>
      <c r="E20" s="10">
        <f t="shared" si="3"/>
        <v>190589</v>
      </c>
      <c r="F20" s="10">
        <f t="shared" si="3"/>
        <v>84964</v>
      </c>
      <c r="G20" s="10">
        <f t="shared" si="3"/>
        <v>15445</v>
      </c>
      <c r="H20" s="10">
        <f t="shared" si="3"/>
        <v>1123609</v>
      </c>
      <c r="I20" s="10">
        <f t="shared" si="3"/>
        <v>29789.38</v>
      </c>
      <c r="J20" s="10">
        <f t="shared" si="3"/>
        <v>4216</v>
      </c>
      <c r="K20" s="10">
        <f t="shared" si="3"/>
        <v>40246</v>
      </c>
      <c r="L20" s="10">
        <f t="shared" si="3"/>
        <v>6210</v>
      </c>
      <c r="M20" s="10">
        <f t="shared" si="3"/>
        <v>155887</v>
      </c>
      <c r="N20" s="10">
        <f t="shared" si="3"/>
        <v>325052</v>
      </c>
      <c r="O20" s="10">
        <f t="shared" si="3"/>
        <v>16071</v>
      </c>
      <c r="P20" s="10">
        <f t="shared" si="3"/>
        <v>-17</v>
      </c>
      <c r="Q20" s="10">
        <f t="shared" si="3"/>
        <v>15589</v>
      </c>
      <c r="R20" s="10">
        <f t="shared" si="3"/>
        <v>31750</v>
      </c>
      <c r="S20" s="10">
        <f t="shared" si="3"/>
        <v>5140</v>
      </c>
      <c r="T20" s="10">
        <f t="shared" si="3"/>
        <v>190809</v>
      </c>
      <c r="U20" s="10">
        <f t="shared" si="3"/>
        <v>767</v>
      </c>
      <c r="V20" s="10">
        <f t="shared" si="3"/>
        <v>354983</v>
      </c>
      <c r="W20" s="10">
        <f t="shared" si="3"/>
        <v>172293</v>
      </c>
      <c r="X20" s="10">
        <f t="shared" si="3"/>
        <v>97430</v>
      </c>
      <c r="Y20" s="10">
        <f t="shared" si="3"/>
        <v>51492</v>
      </c>
      <c r="Z20" s="10">
        <f t="shared" si="3"/>
        <v>26237</v>
      </c>
      <c r="AA20" s="10">
        <f t="shared" si="3"/>
        <v>46784</v>
      </c>
      <c r="AB20" s="10">
        <f t="shared" si="3"/>
        <v>89722</v>
      </c>
      <c r="AC20" s="10">
        <f t="shared" si="3"/>
        <v>111780</v>
      </c>
      <c r="AD20" s="10">
        <f t="shared" si="3"/>
        <v>1036764</v>
      </c>
      <c r="AE20" s="10">
        <f t="shared" si="3"/>
        <v>186186</v>
      </c>
      <c r="AF20" s="10">
        <f t="shared" si="3"/>
        <v>189230</v>
      </c>
      <c r="AG20" s="10">
        <f t="shared" si="3"/>
        <v>14242</v>
      </c>
      <c r="AH20" s="11">
        <f t="shared" si="2"/>
        <v>4637191.38</v>
      </c>
    </row>
    <row r="21" spans="1:34" s="8" customFormat="1" x14ac:dyDescent="0.25">
      <c r="A21" s="3" t="s">
        <v>36</v>
      </c>
      <c r="B21" s="11">
        <v>2128</v>
      </c>
      <c r="C21" s="11">
        <v>4396</v>
      </c>
      <c r="D21" s="11">
        <v>17408</v>
      </c>
      <c r="E21" s="11">
        <v>178090</v>
      </c>
      <c r="F21" s="11">
        <v>118714</v>
      </c>
      <c r="G21" s="11">
        <v>15445</v>
      </c>
      <c r="H21" s="11">
        <v>1126459</v>
      </c>
      <c r="I21" s="11">
        <v>29789.38</v>
      </c>
      <c r="J21" s="11">
        <v>4216</v>
      </c>
      <c r="K21" s="11">
        <v>48316</v>
      </c>
      <c r="L21" s="11">
        <v>6210</v>
      </c>
      <c r="M21" s="11">
        <v>100736</v>
      </c>
      <c r="N21" s="11">
        <v>-13427</v>
      </c>
      <c r="O21" s="11">
        <v>16071</v>
      </c>
      <c r="P21" s="11">
        <v>-11</v>
      </c>
      <c r="Q21" s="11">
        <v>15589</v>
      </c>
      <c r="R21" s="11">
        <v>35368</v>
      </c>
      <c r="S21" s="11">
        <v>7415</v>
      </c>
      <c r="T21" s="11">
        <v>-164710</v>
      </c>
      <c r="U21" s="11">
        <v>767</v>
      </c>
      <c r="V21" s="11">
        <v>361615</v>
      </c>
      <c r="W21" s="11">
        <v>172293</v>
      </c>
      <c r="X21" s="11">
        <v>97430</v>
      </c>
      <c r="Y21" s="11">
        <v>48607</v>
      </c>
      <c r="Z21" s="11">
        <v>26237</v>
      </c>
      <c r="AA21" s="11">
        <v>46866</v>
      </c>
      <c r="AB21" s="11">
        <v>89955</v>
      </c>
      <c r="AC21" s="11">
        <v>110763</v>
      </c>
      <c r="AD21" s="11">
        <v>1105812</v>
      </c>
      <c r="AE21" s="11">
        <v>196478</v>
      </c>
      <c r="AF21" s="11">
        <v>262682</v>
      </c>
      <c r="AG21" s="11">
        <v>14242</v>
      </c>
      <c r="AH21" s="11">
        <f t="shared" si="2"/>
        <v>4081949.38</v>
      </c>
    </row>
    <row r="22" spans="1:34" s="8" customFormat="1" x14ac:dyDescent="0.25">
      <c r="A22" s="3" t="s">
        <v>275</v>
      </c>
      <c r="B22" s="11">
        <f>B15-B21</f>
        <v>-1181995</v>
      </c>
      <c r="C22" s="11">
        <f t="shared" ref="C22:AG22" si="4">C15-C21</f>
        <v>-1270308</v>
      </c>
      <c r="D22" s="11">
        <f t="shared" si="4"/>
        <v>1589996</v>
      </c>
      <c r="E22" s="11">
        <f t="shared" si="4"/>
        <v>4847954</v>
      </c>
      <c r="F22" s="11">
        <f t="shared" si="4"/>
        <v>802323</v>
      </c>
      <c r="G22" s="11">
        <f t="shared" si="4"/>
        <v>-1913907</v>
      </c>
      <c r="H22" s="11">
        <f t="shared" si="4"/>
        <v>372527</v>
      </c>
      <c r="I22" s="11">
        <f t="shared" si="4"/>
        <v>414245.86</v>
      </c>
      <c r="J22" s="11">
        <f t="shared" si="4"/>
        <v>-300579</v>
      </c>
      <c r="K22" s="11">
        <f t="shared" si="4"/>
        <v>160882</v>
      </c>
      <c r="L22" s="11">
        <f t="shared" si="4"/>
        <v>254888</v>
      </c>
      <c r="M22" s="11">
        <f t="shared" si="4"/>
        <v>-355103</v>
      </c>
      <c r="N22" s="11">
        <f t="shared" si="4"/>
        <v>2015023</v>
      </c>
      <c r="O22" s="11">
        <f t="shared" si="4"/>
        <v>662833</v>
      </c>
      <c r="P22" s="11">
        <f t="shared" si="4"/>
        <v>-47373</v>
      </c>
      <c r="Q22" s="11">
        <f t="shared" si="4"/>
        <v>258327</v>
      </c>
      <c r="R22" s="11">
        <f t="shared" si="4"/>
        <v>157330</v>
      </c>
      <c r="S22" s="11">
        <f t="shared" si="4"/>
        <v>-989394</v>
      </c>
      <c r="T22" s="11">
        <f t="shared" si="4"/>
        <v>-6097904</v>
      </c>
      <c r="U22" s="11">
        <f t="shared" si="4"/>
        <v>111537</v>
      </c>
      <c r="V22" s="11">
        <f t="shared" si="4"/>
        <v>-1233863</v>
      </c>
      <c r="W22" s="11">
        <f t="shared" si="4"/>
        <v>-335895</v>
      </c>
      <c r="X22" s="11">
        <f t="shared" si="4"/>
        <v>1213537</v>
      </c>
      <c r="Y22" s="11">
        <f t="shared" si="4"/>
        <v>808559</v>
      </c>
      <c r="Z22" s="11">
        <f t="shared" si="4"/>
        <v>1017074</v>
      </c>
      <c r="AA22" s="11"/>
      <c r="AB22" s="11">
        <f t="shared" si="4"/>
        <v>-2802891</v>
      </c>
      <c r="AC22" s="11">
        <f t="shared" si="4"/>
        <v>3027544</v>
      </c>
      <c r="AD22" s="11">
        <f t="shared" si="4"/>
        <v>1016172</v>
      </c>
      <c r="AE22" s="11">
        <f t="shared" si="4"/>
        <v>-5965634</v>
      </c>
      <c r="AF22" s="11">
        <f t="shared" si="4"/>
        <v>-6134259</v>
      </c>
      <c r="AG22" s="11">
        <f t="shared" si="4"/>
        <v>502865</v>
      </c>
      <c r="AH22" s="11">
        <f t="shared" si="2"/>
        <v>-9395488.1400000006</v>
      </c>
    </row>
    <row r="23" spans="1:34" x14ac:dyDescent="0.25">
      <c r="A23" s="2" t="s">
        <v>277</v>
      </c>
      <c r="B23" s="10"/>
      <c r="C23" s="10"/>
      <c r="D23">
        <v>309095</v>
      </c>
      <c r="E23" s="10">
        <v>1224309</v>
      </c>
      <c r="F23" s="10"/>
      <c r="G23" s="10">
        <v>-491239</v>
      </c>
      <c r="H23" s="10">
        <v>91505</v>
      </c>
      <c r="I23" s="10">
        <f>27500+407.88</f>
        <v>27907.88</v>
      </c>
      <c r="J23" s="10"/>
      <c r="K23" s="10">
        <f>42157-1280</f>
        <v>40877</v>
      </c>
      <c r="L23" s="10"/>
      <c r="M23" s="10"/>
      <c r="N23" s="10">
        <f>545614-46883</f>
        <v>498731</v>
      </c>
      <c r="O23" s="10">
        <f>160400-2300</f>
        <v>158100</v>
      </c>
      <c r="P23" s="10"/>
      <c r="Q23" s="10"/>
      <c r="R23" s="10">
        <v>39597</v>
      </c>
      <c r="S23" s="10"/>
      <c r="T23" s="10"/>
      <c r="U23" s="10"/>
      <c r="V23" s="10"/>
      <c r="W23" s="10">
        <v>-768</v>
      </c>
      <c r="X23" s="10">
        <f>235158+220637</f>
        <v>455795</v>
      </c>
      <c r="Y23" s="10">
        <v>202031</v>
      </c>
      <c r="Z23" s="10">
        <f>284012-24946</f>
        <v>259066</v>
      </c>
      <c r="AA23" s="10">
        <v>442672</v>
      </c>
      <c r="AB23" s="10">
        <v>-705121</v>
      </c>
      <c r="AC23" s="10">
        <f>728496+25621</f>
        <v>754117</v>
      </c>
      <c r="AD23" s="10">
        <f>183428-59502</f>
        <v>123926</v>
      </c>
      <c r="AE23" s="10"/>
      <c r="AF23" s="10"/>
      <c r="AG23" s="10">
        <f>133782+1009</f>
        <v>134791</v>
      </c>
      <c r="AH23" s="11">
        <f t="shared" si="2"/>
        <v>3565391.88</v>
      </c>
    </row>
    <row r="24" spans="1:34" s="8" customFormat="1" x14ac:dyDescent="0.25">
      <c r="A24" s="3" t="s">
        <v>276</v>
      </c>
      <c r="B24" s="11">
        <f>B22-B23</f>
        <v>-1181995</v>
      </c>
      <c r="C24" s="11">
        <f t="shared" ref="C24:AG24" si="5">C22-C23</f>
        <v>-1270308</v>
      </c>
      <c r="D24" s="11">
        <f t="shared" si="5"/>
        <v>1280901</v>
      </c>
      <c r="E24" s="11">
        <f t="shared" si="5"/>
        <v>3623645</v>
      </c>
      <c r="F24" s="11">
        <f t="shared" si="5"/>
        <v>802323</v>
      </c>
      <c r="G24" s="11">
        <f t="shared" si="5"/>
        <v>-1422668</v>
      </c>
      <c r="H24" s="11">
        <f t="shared" si="5"/>
        <v>281022</v>
      </c>
      <c r="I24" s="11">
        <f t="shared" si="5"/>
        <v>386337.98</v>
      </c>
      <c r="J24" s="11">
        <f t="shared" si="5"/>
        <v>-300579</v>
      </c>
      <c r="K24" s="11">
        <f t="shared" si="5"/>
        <v>120005</v>
      </c>
      <c r="L24" s="11">
        <f t="shared" si="5"/>
        <v>254888</v>
      </c>
      <c r="M24" s="11">
        <f t="shared" si="5"/>
        <v>-355103</v>
      </c>
      <c r="N24" s="11">
        <f t="shared" si="5"/>
        <v>1516292</v>
      </c>
      <c r="O24" s="11">
        <f t="shared" si="5"/>
        <v>504733</v>
      </c>
      <c r="P24" s="11">
        <f t="shared" si="5"/>
        <v>-47373</v>
      </c>
      <c r="Q24" s="11">
        <f t="shared" si="5"/>
        <v>258327</v>
      </c>
      <c r="R24" s="11">
        <f t="shared" si="5"/>
        <v>117733</v>
      </c>
      <c r="S24" s="11">
        <f t="shared" si="5"/>
        <v>-989394</v>
      </c>
      <c r="T24" s="11">
        <f t="shared" si="5"/>
        <v>-6097904</v>
      </c>
      <c r="U24" s="11">
        <f t="shared" si="5"/>
        <v>111537</v>
      </c>
      <c r="V24" s="11">
        <f t="shared" si="5"/>
        <v>-1233863</v>
      </c>
      <c r="W24" s="11">
        <f t="shared" si="5"/>
        <v>-335127</v>
      </c>
      <c r="X24" s="11">
        <f t="shared" si="5"/>
        <v>757742</v>
      </c>
      <c r="Y24" s="11">
        <f t="shared" si="5"/>
        <v>606528</v>
      </c>
      <c r="Z24" s="11">
        <f t="shared" si="5"/>
        <v>758008</v>
      </c>
      <c r="AA24" s="11"/>
      <c r="AB24" s="11">
        <f t="shared" si="5"/>
        <v>-2097770</v>
      </c>
      <c r="AC24" s="11">
        <f t="shared" si="5"/>
        <v>2273427</v>
      </c>
      <c r="AD24" s="11">
        <f t="shared" si="5"/>
        <v>892246</v>
      </c>
      <c r="AE24" s="11">
        <f t="shared" si="5"/>
        <v>-5965634</v>
      </c>
      <c r="AF24" s="11">
        <f t="shared" si="5"/>
        <v>-6134259</v>
      </c>
      <c r="AG24" s="11">
        <f t="shared" si="5"/>
        <v>368074</v>
      </c>
      <c r="AH24" s="11">
        <f t="shared" si="2"/>
        <v>-12518208.02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" customWidth="1"/>
    <col min="2" max="33" width="16" style="7" customWidth="1"/>
    <col min="34" max="34" width="16" style="8" customWidth="1"/>
    <col min="35" max="16384" width="9.140625" style="7"/>
  </cols>
  <sheetData>
    <row r="1" spans="1:34" ht="18.75" x14ac:dyDescent="0.3">
      <c r="A1" s="17" t="s">
        <v>308</v>
      </c>
    </row>
    <row r="2" spans="1:34" x14ac:dyDescent="0.25">
      <c r="A2" s="18" t="s">
        <v>40</v>
      </c>
    </row>
    <row r="3" spans="1:34" x14ac:dyDescent="0.25">
      <c r="A3" s="1" t="s">
        <v>0</v>
      </c>
      <c r="B3" s="89" t="s">
        <v>1</v>
      </c>
      <c r="C3" s="89" t="s">
        <v>290</v>
      </c>
      <c r="D3" s="89" t="s">
        <v>3</v>
      </c>
      <c r="E3" s="89" t="s">
        <v>4</v>
      </c>
      <c r="F3" s="89" t="s">
        <v>5</v>
      </c>
      <c r="G3" s="89" t="s">
        <v>291</v>
      </c>
      <c r="H3" s="89" t="s">
        <v>292</v>
      </c>
      <c r="I3" s="89" t="s">
        <v>8</v>
      </c>
      <c r="J3" s="89" t="s">
        <v>7</v>
      </c>
      <c r="K3" s="89" t="s">
        <v>9</v>
      </c>
      <c r="L3" s="89" t="s">
        <v>288</v>
      </c>
      <c r="M3" s="89" t="s">
        <v>11</v>
      </c>
      <c r="N3" s="89" t="s">
        <v>12</v>
      </c>
      <c r="O3" s="89" t="s">
        <v>13</v>
      </c>
      <c r="P3" s="89" t="s">
        <v>14</v>
      </c>
      <c r="Q3" s="89" t="s">
        <v>15</v>
      </c>
      <c r="R3" s="89" t="s">
        <v>16</v>
      </c>
      <c r="S3" s="89" t="s">
        <v>293</v>
      </c>
      <c r="T3" s="92" t="s">
        <v>17</v>
      </c>
      <c r="U3" s="92" t="s">
        <v>294</v>
      </c>
      <c r="V3" s="89" t="s">
        <v>313</v>
      </c>
      <c r="W3" s="89" t="s">
        <v>289</v>
      </c>
      <c r="X3" s="89" t="s">
        <v>295</v>
      </c>
      <c r="Y3" s="89" t="s">
        <v>20</v>
      </c>
      <c r="Z3" s="89" t="s">
        <v>21</v>
      </c>
      <c r="AA3" s="89" t="s">
        <v>22</v>
      </c>
      <c r="AB3" s="89" t="s">
        <v>23</v>
      </c>
      <c r="AC3" s="89" t="s">
        <v>24</v>
      </c>
      <c r="AD3" s="88" t="s">
        <v>296</v>
      </c>
      <c r="AE3" s="88" t="s">
        <v>297</v>
      </c>
      <c r="AF3" s="88" t="s">
        <v>25</v>
      </c>
      <c r="AG3" s="89" t="s">
        <v>26</v>
      </c>
      <c r="AH3" s="70" t="s">
        <v>27</v>
      </c>
    </row>
    <row r="4" spans="1:34" x14ac:dyDescent="0.25">
      <c r="A4" s="3" t="s">
        <v>239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1"/>
    </row>
    <row r="5" spans="1:34" x14ac:dyDescent="0.25">
      <c r="A5" s="28" t="s">
        <v>240</v>
      </c>
      <c r="B5" s="10">
        <v>7960000</v>
      </c>
      <c r="C5" s="10">
        <v>3785761</v>
      </c>
      <c r="D5" s="10">
        <v>2000000</v>
      </c>
      <c r="E5" s="10">
        <v>1102273</v>
      </c>
      <c r="F5" s="10">
        <v>20754934</v>
      </c>
      <c r="G5" s="10">
        <v>8512338</v>
      </c>
      <c r="H5" s="10">
        <v>2988057</v>
      </c>
      <c r="I5" s="10">
        <v>31900000</v>
      </c>
      <c r="J5" s="10">
        <v>4230000</v>
      </c>
      <c r="K5" s="10">
        <v>9048037</v>
      </c>
      <c r="L5" s="10">
        <v>8260685</v>
      </c>
      <c r="M5" s="10">
        <v>7127800</v>
      </c>
      <c r="N5" s="10">
        <v>4546516</v>
      </c>
      <c r="O5" s="10">
        <v>2742183</v>
      </c>
      <c r="P5" s="10">
        <v>3300000</v>
      </c>
      <c r="Q5" s="10">
        <v>10862252</v>
      </c>
      <c r="R5" s="10">
        <v>1547073</v>
      </c>
      <c r="S5" s="10">
        <v>9958237</v>
      </c>
      <c r="T5" s="10">
        <v>56750000</v>
      </c>
      <c r="U5" s="10">
        <v>4957900</v>
      </c>
      <c r="V5" s="10">
        <v>13841167</v>
      </c>
      <c r="W5" s="10">
        <v>2647288</v>
      </c>
      <c r="X5" s="10">
        <v>2515499</v>
      </c>
      <c r="Y5" s="10">
        <v>4490000</v>
      </c>
      <c r="Z5" s="10">
        <v>2155000</v>
      </c>
      <c r="AA5" s="10"/>
      <c r="AB5" s="10">
        <v>5485980</v>
      </c>
      <c r="AC5" s="10">
        <v>9944560</v>
      </c>
      <c r="AD5" s="10">
        <v>8240000</v>
      </c>
      <c r="AE5" s="10">
        <v>34200000</v>
      </c>
      <c r="AF5" s="10">
        <v>38050000</v>
      </c>
      <c r="AG5" s="10">
        <v>3681818</v>
      </c>
      <c r="AH5" s="11">
        <f t="shared" ref="AH5:AH10" si="0">SUM(B5:AG5)</f>
        <v>327585358</v>
      </c>
    </row>
    <row r="6" spans="1:34" x14ac:dyDescent="0.25">
      <c r="A6" s="28" t="s">
        <v>241</v>
      </c>
      <c r="B6" s="10"/>
      <c r="C6" s="10">
        <v>11024239</v>
      </c>
      <c r="D6" s="10">
        <v>45620836</v>
      </c>
      <c r="E6" s="10">
        <v>73850728</v>
      </c>
      <c r="F6" s="10">
        <v>2004538</v>
      </c>
      <c r="G6" s="10">
        <v>2981008</v>
      </c>
      <c r="H6" s="10">
        <v>16138620</v>
      </c>
      <c r="I6" s="10">
        <v>32138567.25</v>
      </c>
      <c r="J6" s="10"/>
      <c r="K6" s="10">
        <v>2247063</v>
      </c>
      <c r="L6" s="10">
        <v>9981109</v>
      </c>
      <c r="M6" s="10">
        <v>24954253</v>
      </c>
      <c r="N6" s="10">
        <v>71373814</v>
      </c>
      <c r="O6" s="10">
        <v>25539599</v>
      </c>
      <c r="P6" s="10"/>
      <c r="Q6" s="10">
        <v>7481249</v>
      </c>
      <c r="R6" s="10">
        <v>2796224</v>
      </c>
      <c r="S6" s="10">
        <v>3309418</v>
      </c>
      <c r="T6" s="10">
        <v>157441</v>
      </c>
      <c r="U6" s="10"/>
      <c r="V6" s="10">
        <v>962595</v>
      </c>
      <c r="W6" s="10">
        <v>923661</v>
      </c>
      <c r="X6" s="10">
        <v>18785162</v>
      </c>
      <c r="Y6" s="10">
        <v>9402073</v>
      </c>
      <c r="Z6" s="10">
        <v>25964312</v>
      </c>
      <c r="AA6" s="10"/>
      <c r="AB6" s="10">
        <v>37002015</v>
      </c>
      <c r="AC6" s="10">
        <v>22172826</v>
      </c>
      <c r="AD6" s="10">
        <v>183226729</v>
      </c>
      <c r="AE6" s="10">
        <v>-9830862</v>
      </c>
      <c r="AF6" s="10">
        <v>1095912</v>
      </c>
      <c r="AG6" s="10">
        <v>6835761</v>
      </c>
      <c r="AH6" s="11">
        <f t="shared" si="0"/>
        <v>628138890.25</v>
      </c>
    </row>
    <row r="7" spans="1:34" x14ac:dyDescent="0.25">
      <c r="A7" s="28" t="s">
        <v>242</v>
      </c>
      <c r="B7" s="10">
        <v>103</v>
      </c>
      <c r="C7" s="10">
        <v>1235</v>
      </c>
      <c r="D7" s="10">
        <v>227542</v>
      </c>
      <c r="E7" s="10">
        <f>1361124+3164889</f>
        <v>4526013</v>
      </c>
      <c r="F7" s="10">
        <f>38384+8306</f>
        <v>46690</v>
      </c>
      <c r="G7" s="10">
        <f>2055-19133</f>
        <v>-17078</v>
      </c>
      <c r="H7" s="10">
        <f>34278+284867</f>
        <v>319145</v>
      </c>
      <c r="I7" s="10">
        <f>3452651.39+4219907.26</f>
        <v>7672558.6500000004</v>
      </c>
      <c r="J7" s="10">
        <f>18700+1675</f>
        <v>20375</v>
      </c>
      <c r="K7" s="10">
        <f>3954+15754</f>
        <v>19708</v>
      </c>
      <c r="L7" s="10">
        <v>726932</v>
      </c>
      <c r="M7" s="10">
        <f>113446+483813</f>
        <v>597259</v>
      </c>
      <c r="N7" s="10">
        <f>1829367+5887663</f>
        <v>7717030</v>
      </c>
      <c r="O7" s="10">
        <f>725+2963</f>
        <v>3688</v>
      </c>
      <c r="P7" s="10">
        <f>668+2714</f>
        <v>3382</v>
      </c>
      <c r="Q7" s="10">
        <f>455+172</f>
        <v>627</v>
      </c>
      <c r="R7" s="10">
        <f>86+662</f>
        <v>748</v>
      </c>
      <c r="S7" s="10">
        <v>256</v>
      </c>
      <c r="T7" s="10">
        <v>25135358</v>
      </c>
      <c r="U7" s="10">
        <v>283</v>
      </c>
      <c r="V7" s="10">
        <f>307+1798</f>
        <v>2105</v>
      </c>
      <c r="W7" s="10">
        <v>832</v>
      </c>
      <c r="X7" s="10">
        <f>71771+384030</f>
        <v>455801</v>
      </c>
      <c r="Y7" s="10">
        <f>177932+856498</f>
        <v>1034430</v>
      </c>
      <c r="Z7" s="10">
        <f>91+995870</f>
        <v>995961</v>
      </c>
      <c r="AA7" s="10">
        <v>121539</v>
      </c>
      <c r="AB7" s="10">
        <f>79750+49975</f>
        <v>129725</v>
      </c>
      <c r="AC7" s="10">
        <v>6880616</v>
      </c>
      <c r="AD7" s="10">
        <v>202043626</v>
      </c>
      <c r="AE7" s="10">
        <f>3708902+46890028</f>
        <v>50598930</v>
      </c>
      <c r="AF7" s="10">
        <f>31550668+3740907</f>
        <v>35291575</v>
      </c>
      <c r="AG7" s="10">
        <f>3527+33230</f>
        <v>36757</v>
      </c>
      <c r="AH7" s="11">
        <f t="shared" si="0"/>
        <v>344593751.64999998</v>
      </c>
    </row>
    <row r="8" spans="1:34" x14ac:dyDescent="0.25">
      <c r="A8" s="28" t="s">
        <v>243</v>
      </c>
      <c r="B8" s="10"/>
      <c r="C8" s="10"/>
      <c r="D8" s="10"/>
      <c r="E8" s="10"/>
      <c r="F8" s="10">
        <v>2550000</v>
      </c>
      <c r="G8" s="10"/>
      <c r="H8" s="10">
        <v>1000000</v>
      </c>
      <c r="I8" s="10"/>
      <c r="J8" s="10"/>
      <c r="K8" s="10"/>
      <c r="L8" s="10"/>
      <c r="M8" s="10">
        <v>5040000</v>
      </c>
      <c r="N8" s="10">
        <v>4850000</v>
      </c>
      <c r="O8" s="10"/>
      <c r="P8" s="10"/>
      <c r="Q8" s="10"/>
      <c r="R8" s="10">
        <v>3781</v>
      </c>
      <c r="S8" s="10">
        <v>430000</v>
      </c>
      <c r="T8" s="10">
        <v>8950000</v>
      </c>
      <c r="U8" s="10"/>
      <c r="V8" s="10"/>
      <c r="W8" s="10"/>
      <c r="X8" s="10">
        <v>2300000</v>
      </c>
      <c r="Y8" s="10">
        <v>1000000</v>
      </c>
      <c r="Z8" s="10"/>
      <c r="AA8" s="10"/>
      <c r="AB8" s="10">
        <v>2500000</v>
      </c>
      <c r="AC8" s="10">
        <v>3630000</v>
      </c>
      <c r="AD8" s="10"/>
      <c r="AE8" s="10">
        <v>7500000</v>
      </c>
      <c r="AF8" s="10">
        <v>9000000</v>
      </c>
      <c r="AG8" s="10"/>
      <c r="AH8" s="11">
        <f t="shared" si="0"/>
        <v>48753781</v>
      </c>
    </row>
    <row r="9" spans="1:34" x14ac:dyDescent="0.25">
      <c r="A9" s="28" t="s">
        <v>38</v>
      </c>
      <c r="B9" s="10">
        <f>B10-B8-B7-B6-B5</f>
        <v>0</v>
      </c>
      <c r="C9" s="10">
        <f t="shared" ref="C9:AG9" si="1">C10-C8-C7-C6-C5</f>
        <v>250001</v>
      </c>
      <c r="D9" s="10">
        <f t="shared" si="1"/>
        <v>0</v>
      </c>
      <c r="E9" s="10">
        <f t="shared" si="1"/>
        <v>0</v>
      </c>
      <c r="F9" s="10">
        <f t="shared" si="1"/>
        <v>0</v>
      </c>
      <c r="G9" s="10">
        <f t="shared" si="1"/>
        <v>0</v>
      </c>
      <c r="H9" s="10">
        <f t="shared" si="1"/>
        <v>0</v>
      </c>
      <c r="I9" s="10">
        <f t="shared" si="1"/>
        <v>2600000.0000000075</v>
      </c>
      <c r="J9" s="10">
        <f t="shared" si="1"/>
        <v>0</v>
      </c>
      <c r="K9" s="10">
        <f t="shared" si="1"/>
        <v>241720</v>
      </c>
      <c r="L9" s="10">
        <f t="shared" si="1"/>
        <v>0</v>
      </c>
      <c r="M9" s="10">
        <f t="shared" si="1"/>
        <v>0</v>
      </c>
      <c r="N9" s="10">
        <f t="shared" si="1"/>
        <v>889</v>
      </c>
      <c r="O9" s="10">
        <f t="shared" si="1"/>
        <v>0</v>
      </c>
      <c r="P9" s="10">
        <f t="shared" si="1"/>
        <v>0</v>
      </c>
      <c r="Q9" s="10">
        <f t="shared" si="1"/>
        <v>0</v>
      </c>
      <c r="R9" s="10">
        <f t="shared" si="1"/>
        <v>38820</v>
      </c>
      <c r="S9" s="10">
        <f t="shared" si="1"/>
        <v>4</v>
      </c>
      <c r="T9" s="10">
        <f t="shared" si="1"/>
        <v>0</v>
      </c>
      <c r="U9" s="10">
        <f t="shared" si="1"/>
        <v>0</v>
      </c>
      <c r="V9" s="10">
        <f t="shared" si="1"/>
        <v>0</v>
      </c>
      <c r="W9" s="10">
        <f t="shared" si="1"/>
        <v>1</v>
      </c>
      <c r="X9" s="10">
        <f t="shared" si="1"/>
        <v>0</v>
      </c>
      <c r="Y9" s="10">
        <f t="shared" si="1"/>
        <v>0</v>
      </c>
      <c r="Z9" s="10">
        <f t="shared" si="1"/>
        <v>0</v>
      </c>
      <c r="AA9" s="10">
        <f t="shared" si="1"/>
        <v>-121539</v>
      </c>
      <c r="AB9" s="10">
        <f t="shared" si="1"/>
        <v>4992</v>
      </c>
      <c r="AC9" s="10">
        <f t="shared" si="1"/>
        <v>0</v>
      </c>
      <c r="AD9" s="10">
        <f t="shared" si="1"/>
        <v>0</v>
      </c>
      <c r="AE9" s="10">
        <f t="shared" si="1"/>
        <v>0</v>
      </c>
      <c r="AF9" s="10">
        <f t="shared" si="1"/>
        <v>0</v>
      </c>
      <c r="AG9" s="10">
        <f t="shared" si="1"/>
        <v>0</v>
      </c>
      <c r="AH9" s="11">
        <f t="shared" si="0"/>
        <v>3014888.0000000075</v>
      </c>
    </row>
    <row r="10" spans="1:34" s="8" customFormat="1" x14ac:dyDescent="0.25">
      <c r="A10" s="3" t="s">
        <v>48</v>
      </c>
      <c r="B10" s="11">
        <v>7960103</v>
      </c>
      <c r="C10" s="11">
        <v>15061236</v>
      </c>
      <c r="D10" s="11">
        <v>47848378</v>
      </c>
      <c r="E10" s="11">
        <v>79479014</v>
      </c>
      <c r="F10" s="11">
        <v>25356162</v>
      </c>
      <c r="G10" s="11">
        <v>11476268</v>
      </c>
      <c r="H10" s="11">
        <v>20445822</v>
      </c>
      <c r="I10" s="11">
        <v>74311125.900000006</v>
      </c>
      <c r="J10" s="11">
        <v>4250375</v>
      </c>
      <c r="K10" s="11">
        <v>11556528</v>
      </c>
      <c r="L10" s="11">
        <v>18968726</v>
      </c>
      <c r="M10" s="11">
        <v>37719312</v>
      </c>
      <c r="N10" s="11">
        <v>88488249</v>
      </c>
      <c r="O10" s="11">
        <v>28285470</v>
      </c>
      <c r="P10" s="11">
        <v>3303382</v>
      </c>
      <c r="Q10" s="11">
        <v>18344128</v>
      </c>
      <c r="R10" s="11">
        <v>4386646</v>
      </c>
      <c r="S10" s="11">
        <v>13697915</v>
      </c>
      <c r="T10" s="11">
        <v>90992799</v>
      </c>
      <c r="U10" s="11">
        <v>4958183</v>
      </c>
      <c r="V10" s="11">
        <v>14805867</v>
      </c>
      <c r="W10" s="11">
        <v>3571782</v>
      </c>
      <c r="X10" s="11">
        <v>24056462</v>
      </c>
      <c r="Y10" s="11">
        <v>15926503</v>
      </c>
      <c r="Z10" s="11">
        <v>29115273</v>
      </c>
      <c r="AA10" s="11"/>
      <c r="AB10" s="11">
        <v>45122712</v>
      </c>
      <c r="AC10" s="11">
        <v>42628002</v>
      </c>
      <c r="AD10" s="11">
        <v>393510355</v>
      </c>
      <c r="AE10" s="11">
        <v>82468068</v>
      </c>
      <c r="AF10" s="11">
        <v>83437487</v>
      </c>
      <c r="AG10" s="11">
        <v>10554336</v>
      </c>
      <c r="AH10" s="11">
        <f t="shared" si="0"/>
        <v>1352086668.9000001</v>
      </c>
    </row>
    <row r="11" spans="1:34" s="8" customFormat="1" x14ac:dyDescent="0.25">
      <c r="A11" s="3" t="s">
        <v>244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x14ac:dyDescent="0.25">
      <c r="A12" s="28" t="s">
        <v>245</v>
      </c>
      <c r="B12" s="10">
        <v>1602831</v>
      </c>
      <c r="C12" s="10">
        <v>2868722</v>
      </c>
      <c r="D12" s="10"/>
      <c r="E12" s="10">
        <v>47087842</v>
      </c>
      <c r="F12" s="10">
        <v>9284256</v>
      </c>
      <c r="G12" s="10">
        <v>8998715</v>
      </c>
      <c r="H12" s="10">
        <v>12076512</v>
      </c>
      <c r="I12" s="10">
        <v>60131793.079999998</v>
      </c>
      <c r="J12" s="10">
        <v>860534</v>
      </c>
      <c r="K12" s="10"/>
      <c r="L12" s="10">
        <v>13330566</v>
      </c>
      <c r="M12" s="10">
        <v>32598007</v>
      </c>
      <c r="N12" s="10">
        <v>76305839</v>
      </c>
      <c r="O12" s="10">
        <v>24492752</v>
      </c>
      <c r="P12" s="10">
        <v>1874573</v>
      </c>
      <c r="Q12" s="10">
        <v>8418467</v>
      </c>
      <c r="R12" s="10">
        <v>3615187</v>
      </c>
      <c r="S12" s="10">
        <v>2135601</v>
      </c>
      <c r="T12" s="10">
        <v>28427.557451105502</v>
      </c>
      <c r="U12" s="10">
        <v>2256053</v>
      </c>
      <c r="V12" s="10">
        <v>5659054</v>
      </c>
      <c r="W12" s="10">
        <v>1784401</v>
      </c>
      <c r="X12" s="10">
        <v>21201439</v>
      </c>
      <c r="Y12" s="10">
        <v>11621814</v>
      </c>
      <c r="Z12" s="10">
        <v>23374606</v>
      </c>
      <c r="AA12" s="10"/>
      <c r="AB12" s="10">
        <v>31976357</v>
      </c>
      <c r="AC12" s="10">
        <v>34144462</v>
      </c>
      <c r="AD12" s="10"/>
      <c r="AE12" s="10">
        <v>237572042</v>
      </c>
      <c r="AF12" s="10"/>
      <c r="AG12" s="10">
        <v>3265457</v>
      </c>
      <c r="AH12" s="11">
        <f t="shared" ref="AH12:AH28" si="2">SUM(B12:AG12)</f>
        <v>678566309.63745117</v>
      </c>
    </row>
    <row r="13" spans="1:34" x14ac:dyDescent="0.25">
      <c r="A13" s="28" t="s">
        <v>246</v>
      </c>
      <c r="B13" s="10">
        <v>4528813</v>
      </c>
      <c r="C13" s="10">
        <v>9529072</v>
      </c>
      <c r="D13" s="10"/>
      <c r="E13" s="10">
        <v>183228754</v>
      </c>
      <c r="F13" s="10">
        <v>42903806</v>
      </c>
      <c r="G13" s="10">
        <v>18205655</v>
      </c>
      <c r="H13" s="10">
        <v>99799679</v>
      </c>
      <c r="I13" s="10">
        <v>73494413.719999999</v>
      </c>
      <c r="J13" s="10">
        <v>2629805</v>
      </c>
      <c r="K13" s="10"/>
      <c r="L13" s="10">
        <v>47154199</v>
      </c>
      <c r="M13" s="10">
        <v>139019845</v>
      </c>
      <c r="N13" s="10">
        <v>244441354</v>
      </c>
      <c r="O13" s="10">
        <v>100103610</v>
      </c>
      <c r="P13" s="10">
        <v>7623138</v>
      </c>
      <c r="Q13" s="10">
        <v>22234535</v>
      </c>
      <c r="R13" s="10">
        <v>27847115</v>
      </c>
      <c r="S13" s="10">
        <v>5833829</v>
      </c>
      <c r="T13" s="10">
        <v>299109165</v>
      </c>
      <c r="U13" s="10">
        <v>3650364</v>
      </c>
      <c r="V13" s="10">
        <v>11364799</v>
      </c>
      <c r="W13" s="10">
        <v>5230067</v>
      </c>
      <c r="X13" s="10">
        <v>113444437</v>
      </c>
      <c r="Y13" s="7">
        <v>55943161</v>
      </c>
      <c r="Z13" s="10">
        <v>63708783</v>
      </c>
      <c r="AA13" s="10"/>
      <c r="AB13" s="10">
        <v>51028098</v>
      </c>
      <c r="AC13" s="10">
        <v>140512814</v>
      </c>
      <c r="AD13" s="10"/>
      <c r="AE13" s="10">
        <v>18791443</v>
      </c>
      <c r="AF13" s="10"/>
      <c r="AG13" s="10">
        <v>30761562</v>
      </c>
      <c r="AH13" s="11">
        <f t="shared" si="2"/>
        <v>1822122315.72</v>
      </c>
    </row>
    <row r="14" spans="1:34" s="44" customFormat="1" x14ac:dyDescent="0.25">
      <c r="A14" s="19" t="s">
        <v>247</v>
      </c>
      <c r="B14" s="43">
        <f>B12+B13</f>
        <v>6131644</v>
      </c>
      <c r="C14" s="43">
        <f t="shared" ref="C14:AG14" si="3">C12+C13</f>
        <v>12397794</v>
      </c>
      <c r="D14" s="43">
        <v>144933188</v>
      </c>
      <c r="E14" s="43">
        <f t="shared" si="3"/>
        <v>230316596</v>
      </c>
      <c r="F14" s="43">
        <f t="shared" si="3"/>
        <v>52188062</v>
      </c>
      <c r="G14" s="43">
        <f t="shared" si="3"/>
        <v>27204370</v>
      </c>
      <c r="H14" s="43">
        <f t="shared" si="3"/>
        <v>111876191</v>
      </c>
      <c r="I14" s="43">
        <f t="shared" si="3"/>
        <v>133626206.8</v>
      </c>
      <c r="J14" s="43">
        <f t="shared" si="3"/>
        <v>3490339</v>
      </c>
      <c r="K14" s="43">
        <v>53934953</v>
      </c>
      <c r="L14" s="43">
        <f t="shared" si="3"/>
        <v>60484765</v>
      </c>
      <c r="M14" s="43">
        <f t="shared" si="3"/>
        <v>171617852</v>
      </c>
      <c r="N14" s="43">
        <f t="shared" si="3"/>
        <v>320747193</v>
      </c>
      <c r="O14" s="43">
        <f t="shared" si="3"/>
        <v>124596362</v>
      </c>
      <c r="P14" s="43">
        <f t="shared" si="3"/>
        <v>9497711</v>
      </c>
      <c r="Q14" s="43">
        <f t="shared" si="3"/>
        <v>30653002</v>
      </c>
      <c r="R14" s="43">
        <f t="shared" si="3"/>
        <v>31462302</v>
      </c>
      <c r="S14" s="43">
        <f t="shared" si="3"/>
        <v>7969430</v>
      </c>
      <c r="T14" s="43">
        <f t="shared" si="3"/>
        <v>299137592.55745113</v>
      </c>
      <c r="U14" s="43">
        <f t="shared" si="3"/>
        <v>5906417</v>
      </c>
      <c r="V14" s="43">
        <f t="shared" si="3"/>
        <v>17023853</v>
      </c>
      <c r="W14" s="43">
        <f t="shared" si="3"/>
        <v>7014468</v>
      </c>
      <c r="X14" s="43">
        <f t="shared" si="3"/>
        <v>134645876</v>
      </c>
      <c r="Y14" s="43">
        <f t="shared" si="3"/>
        <v>67564975</v>
      </c>
      <c r="Z14" s="43">
        <f t="shared" si="3"/>
        <v>87083389</v>
      </c>
      <c r="AA14" s="43">
        <f t="shared" si="3"/>
        <v>0</v>
      </c>
      <c r="AB14" s="43">
        <f t="shared" si="3"/>
        <v>83004455</v>
      </c>
      <c r="AC14" s="43">
        <f t="shared" si="3"/>
        <v>174657276</v>
      </c>
      <c r="AD14" s="43">
        <v>720833408</v>
      </c>
      <c r="AE14" s="43">
        <f t="shared" si="3"/>
        <v>256363485</v>
      </c>
      <c r="AF14" s="43">
        <v>363773682</v>
      </c>
      <c r="AG14" s="43">
        <f t="shared" si="3"/>
        <v>34027019</v>
      </c>
      <c r="AH14" s="11">
        <f t="shared" si="2"/>
        <v>3784163856.357451</v>
      </c>
    </row>
    <row r="15" spans="1:34" x14ac:dyDescent="0.25">
      <c r="A15" s="28" t="s">
        <v>248</v>
      </c>
      <c r="B15" s="10"/>
      <c r="C15" s="10"/>
      <c r="D15" s="10">
        <v>148031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>
        <v>26572</v>
      </c>
      <c r="S15" s="10"/>
      <c r="T15" s="10">
        <v>346817</v>
      </c>
      <c r="U15" s="10"/>
      <c r="V15" s="10"/>
      <c r="W15" s="10"/>
      <c r="X15" s="10"/>
      <c r="Y15" s="10"/>
      <c r="Z15" s="10"/>
      <c r="AA15" s="10"/>
      <c r="AB15" s="10"/>
      <c r="AC15" s="10"/>
      <c r="AD15" s="10">
        <v>3226657</v>
      </c>
      <c r="AE15" s="10">
        <v>1437495</v>
      </c>
      <c r="AF15" s="10">
        <v>1936640</v>
      </c>
      <c r="AG15" s="10"/>
      <c r="AH15" s="11">
        <f t="shared" si="2"/>
        <v>7122212</v>
      </c>
    </row>
    <row r="16" spans="1:34" x14ac:dyDescent="0.25">
      <c r="A16" s="28" t="s">
        <v>249</v>
      </c>
      <c r="B16" s="10">
        <v>32847</v>
      </c>
      <c r="C16" s="10">
        <v>977563</v>
      </c>
      <c r="D16" s="10">
        <v>2224361</v>
      </c>
      <c r="E16" s="10">
        <v>4222348</v>
      </c>
      <c r="F16" s="10">
        <v>153947</v>
      </c>
      <c r="G16" s="10">
        <v>462640</v>
      </c>
      <c r="H16" s="10">
        <v>737117</v>
      </c>
      <c r="I16" s="10">
        <v>3072897.23</v>
      </c>
      <c r="J16" s="10">
        <v>126881</v>
      </c>
      <c r="K16" s="10">
        <v>418992</v>
      </c>
      <c r="L16" s="10">
        <v>1165264</v>
      </c>
      <c r="M16" s="10">
        <v>2747660</v>
      </c>
      <c r="N16" s="10">
        <v>6104141</v>
      </c>
      <c r="O16" s="10">
        <v>1053076</v>
      </c>
      <c r="P16" s="10">
        <v>79035</v>
      </c>
      <c r="Q16" s="10">
        <v>285146</v>
      </c>
      <c r="R16" s="10">
        <v>232650</v>
      </c>
      <c r="S16" s="10">
        <v>272739</v>
      </c>
      <c r="T16" s="10">
        <v>4950497</v>
      </c>
      <c r="U16" s="10">
        <v>5661</v>
      </c>
      <c r="V16" s="10">
        <v>467241</v>
      </c>
      <c r="W16" s="10">
        <v>70642</v>
      </c>
      <c r="X16" s="10">
        <v>630534</v>
      </c>
      <c r="Y16" s="10">
        <v>242683</v>
      </c>
      <c r="Z16" s="10">
        <v>2162463</v>
      </c>
      <c r="AA16" s="10">
        <v>37928</v>
      </c>
      <c r="AB16" s="10">
        <v>1067791</v>
      </c>
      <c r="AC16" s="10">
        <v>2468610</v>
      </c>
      <c r="AD16" s="10">
        <v>4199840</v>
      </c>
      <c r="AE16" s="10">
        <v>5407503</v>
      </c>
      <c r="AF16" s="10">
        <v>2564214</v>
      </c>
      <c r="AG16" s="10">
        <v>306548</v>
      </c>
      <c r="AH16" s="11">
        <f t="shared" si="2"/>
        <v>48951459.230000004</v>
      </c>
    </row>
    <row r="17" spans="1:34" x14ac:dyDescent="0.25">
      <c r="A17" s="28" t="s">
        <v>250</v>
      </c>
      <c r="B17" s="10"/>
      <c r="C17" s="10"/>
      <c r="D17" s="10">
        <v>94412</v>
      </c>
      <c r="E17" s="10">
        <v>1326484</v>
      </c>
      <c r="F17" s="10"/>
      <c r="G17" s="10">
        <v>912839</v>
      </c>
      <c r="H17" s="10">
        <v>2011499</v>
      </c>
      <c r="I17" s="10">
        <v>442470.76</v>
      </c>
      <c r="J17" s="10"/>
      <c r="K17" s="10">
        <v>500226</v>
      </c>
      <c r="L17" s="10"/>
      <c r="M17" s="10">
        <v>736533</v>
      </c>
      <c r="N17" s="10">
        <v>3545440</v>
      </c>
      <c r="O17" s="10">
        <v>271243</v>
      </c>
      <c r="P17" s="10"/>
      <c r="Q17" s="10"/>
      <c r="R17" s="10">
        <v>195952</v>
      </c>
      <c r="S17" s="10"/>
      <c r="T17" s="10"/>
      <c r="U17" s="10"/>
      <c r="V17" s="10"/>
      <c r="W17" s="10">
        <v>63594</v>
      </c>
      <c r="X17" s="10">
        <v>372735</v>
      </c>
      <c r="Y17" s="10">
        <v>376831</v>
      </c>
      <c r="Z17" s="10">
        <v>192526</v>
      </c>
      <c r="AA17" s="10"/>
      <c r="AB17" s="10">
        <v>4918264</v>
      </c>
      <c r="AC17" s="10">
        <v>609334</v>
      </c>
      <c r="AD17" s="10">
        <v>2570519</v>
      </c>
      <c r="AE17" s="10"/>
      <c r="AF17" s="10"/>
      <c r="AG17" s="10">
        <v>9930</v>
      </c>
      <c r="AH17" s="11">
        <f t="shared" si="2"/>
        <v>19150831.759999998</v>
      </c>
    </row>
    <row r="18" spans="1:34" x14ac:dyDescent="0.25">
      <c r="A18" s="19" t="s">
        <v>251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1">
        <f t="shared" si="2"/>
        <v>0</v>
      </c>
    </row>
    <row r="19" spans="1:34" x14ac:dyDescent="0.25">
      <c r="A19" s="28" t="s">
        <v>252</v>
      </c>
      <c r="B19" s="10">
        <v>118925</v>
      </c>
      <c r="C19" s="10">
        <v>541072</v>
      </c>
      <c r="D19" s="10">
        <v>62734209</v>
      </c>
      <c r="E19" s="10">
        <v>4808703</v>
      </c>
      <c r="F19" s="10">
        <v>819124</v>
      </c>
      <c r="G19" s="10">
        <v>314813</v>
      </c>
      <c r="H19" s="10">
        <v>295126</v>
      </c>
      <c r="I19" s="10">
        <v>14629064.65</v>
      </c>
      <c r="J19" s="10">
        <v>186476</v>
      </c>
      <c r="K19" s="10">
        <v>786473</v>
      </c>
      <c r="L19" s="10">
        <v>1036909</v>
      </c>
      <c r="M19" s="10">
        <v>1903194</v>
      </c>
      <c r="N19" s="10">
        <v>656755</v>
      </c>
      <c r="O19" s="10">
        <v>162353</v>
      </c>
      <c r="P19" s="10">
        <v>63440</v>
      </c>
      <c r="Q19" s="10">
        <v>69845</v>
      </c>
      <c r="R19" s="10">
        <v>439586</v>
      </c>
      <c r="S19" s="10">
        <v>513199</v>
      </c>
      <c r="T19" s="10">
        <v>7991293</v>
      </c>
      <c r="U19" s="10">
        <v>95483</v>
      </c>
      <c r="V19" s="10">
        <v>541297</v>
      </c>
      <c r="W19" s="10">
        <v>29403</v>
      </c>
      <c r="X19" s="10">
        <v>1151487</v>
      </c>
      <c r="Y19" s="10">
        <v>342042</v>
      </c>
      <c r="Z19" s="10">
        <v>686881</v>
      </c>
      <c r="AA19" s="10"/>
      <c r="AB19" s="10">
        <v>5374763</v>
      </c>
      <c r="AC19" s="10">
        <v>2724799</v>
      </c>
      <c r="AD19" s="10">
        <v>94500357</v>
      </c>
      <c r="AE19" s="10">
        <v>27291825</v>
      </c>
      <c r="AF19" s="10">
        <v>29263302</v>
      </c>
      <c r="AG19" s="10">
        <v>381317</v>
      </c>
      <c r="AH19" s="11">
        <f t="shared" si="2"/>
        <v>260453515.65000001</v>
      </c>
    </row>
    <row r="20" spans="1:34" x14ac:dyDescent="0.25">
      <c r="A20" s="28" t="s">
        <v>253</v>
      </c>
      <c r="B20" s="10">
        <v>747575</v>
      </c>
      <c r="C20" s="10">
        <v>1252055</v>
      </c>
      <c r="D20" s="10">
        <v>54691790</v>
      </c>
      <c r="E20" s="10">
        <v>21780901</v>
      </c>
      <c r="F20" s="10">
        <v>12871554</v>
      </c>
      <c r="G20" s="10">
        <v>1830271</v>
      </c>
      <c r="H20" s="10">
        <v>11281801</v>
      </c>
      <c r="I20" s="10">
        <v>9866248.7599999998</v>
      </c>
      <c r="J20" s="10">
        <v>790688</v>
      </c>
      <c r="K20" s="10">
        <v>6208744</v>
      </c>
      <c r="L20" s="10">
        <v>4108035</v>
      </c>
      <c r="M20" s="10">
        <v>15287718</v>
      </c>
      <c r="N20" s="10">
        <v>76496186</v>
      </c>
      <c r="O20" s="10">
        <v>17591265</v>
      </c>
      <c r="P20" s="10">
        <v>557769</v>
      </c>
      <c r="Q20" s="10">
        <v>3092828</v>
      </c>
      <c r="R20" s="10">
        <v>1717220</v>
      </c>
      <c r="S20" s="10">
        <v>424910</v>
      </c>
      <c r="T20" s="10">
        <v>74260499</v>
      </c>
      <c r="U20" s="10">
        <v>416948</v>
      </c>
      <c r="V20" s="10">
        <v>2236718</v>
      </c>
      <c r="W20" s="10">
        <v>396298</v>
      </c>
      <c r="X20" s="10">
        <v>19166477</v>
      </c>
      <c r="Y20" s="10">
        <v>8979064</v>
      </c>
      <c r="Z20" s="10">
        <v>12385830</v>
      </c>
      <c r="AA20" s="10"/>
      <c r="AB20" s="10">
        <v>12793636</v>
      </c>
      <c r="AC20" s="10">
        <v>9879939</v>
      </c>
      <c r="AD20" s="10">
        <v>107036651</v>
      </c>
      <c r="AE20" s="10">
        <v>84682793</v>
      </c>
      <c r="AF20" s="10">
        <v>55557460</v>
      </c>
      <c r="AG20" s="10">
        <v>8503165</v>
      </c>
      <c r="AH20" s="11">
        <f t="shared" si="2"/>
        <v>636893036.75999999</v>
      </c>
    </row>
    <row r="21" spans="1:34" s="44" customFormat="1" x14ac:dyDescent="0.25">
      <c r="A21" s="19" t="s">
        <v>254</v>
      </c>
      <c r="B21" s="43">
        <f>B19+B20</f>
        <v>866500</v>
      </c>
      <c r="C21" s="43">
        <f t="shared" ref="C21:AG21" si="4">C19+C20</f>
        <v>1793127</v>
      </c>
      <c r="D21" s="43">
        <f t="shared" si="4"/>
        <v>117425999</v>
      </c>
      <c r="E21" s="43">
        <f t="shared" si="4"/>
        <v>26589604</v>
      </c>
      <c r="F21" s="43">
        <f t="shared" si="4"/>
        <v>13690678</v>
      </c>
      <c r="G21" s="43">
        <f t="shared" si="4"/>
        <v>2145084</v>
      </c>
      <c r="H21" s="43">
        <f t="shared" si="4"/>
        <v>11576927</v>
      </c>
      <c r="I21" s="43">
        <f t="shared" si="4"/>
        <v>24495313.41</v>
      </c>
      <c r="J21" s="43">
        <f t="shared" si="4"/>
        <v>977164</v>
      </c>
      <c r="K21" s="43">
        <f t="shared" si="4"/>
        <v>6995217</v>
      </c>
      <c r="L21" s="43">
        <f t="shared" si="4"/>
        <v>5144944</v>
      </c>
      <c r="M21" s="43">
        <f t="shared" si="4"/>
        <v>17190912</v>
      </c>
      <c r="N21" s="43">
        <f t="shared" si="4"/>
        <v>77152941</v>
      </c>
      <c r="O21" s="43">
        <f t="shared" si="4"/>
        <v>17753618</v>
      </c>
      <c r="P21" s="43">
        <f t="shared" si="4"/>
        <v>621209</v>
      </c>
      <c r="Q21" s="43">
        <f t="shared" si="4"/>
        <v>3162673</v>
      </c>
      <c r="R21" s="43">
        <f t="shared" si="4"/>
        <v>2156806</v>
      </c>
      <c r="S21" s="43">
        <f t="shared" si="4"/>
        <v>938109</v>
      </c>
      <c r="T21" s="43">
        <f t="shared" si="4"/>
        <v>82251792</v>
      </c>
      <c r="U21" s="43">
        <f t="shared" si="4"/>
        <v>512431</v>
      </c>
      <c r="V21" s="43">
        <f t="shared" si="4"/>
        <v>2778015</v>
      </c>
      <c r="W21" s="43">
        <f t="shared" si="4"/>
        <v>425701</v>
      </c>
      <c r="X21" s="43">
        <f t="shared" si="4"/>
        <v>20317964</v>
      </c>
      <c r="Y21" s="43">
        <f t="shared" si="4"/>
        <v>9321106</v>
      </c>
      <c r="Z21" s="43">
        <f t="shared" si="4"/>
        <v>13072711</v>
      </c>
      <c r="AA21" s="43">
        <f t="shared" si="4"/>
        <v>0</v>
      </c>
      <c r="AB21" s="43">
        <f t="shared" si="4"/>
        <v>18168399</v>
      </c>
      <c r="AC21" s="43">
        <f t="shared" si="4"/>
        <v>12604738</v>
      </c>
      <c r="AD21" s="43">
        <f t="shared" si="4"/>
        <v>201537008</v>
      </c>
      <c r="AE21" s="43">
        <f t="shared" si="4"/>
        <v>111974618</v>
      </c>
      <c r="AF21" s="43">
        <f t="shared" si="4"/>
        <v>84820762</v>
      </c>
      <c r="AG21" s="43">
        <f t="shared" si="4"/>
        <v>8884482</v>
      </c>
      <c r="AH21" s="11">
        <f t="shared" si="2"/>
        <v>897346552.40999997</v>
      </c>
    </row>
    <row r="22" spans="1:34" x14ac:dyDescent="0.25">
      <c r="A22" s="28" t="s">
        <v>255</v>
      </c>
      <c r="B22" s="10">
        <v>3293358</v>
      </c>
      <c r="C22" s="10">
        <v>5439882</v>
      </c>
      <c r="D22" s="10">
        <v>215844161</v>
      </c>
      <c r="E22" s="10">
        <v>143033720</v>
      </c>
      <c r="F22" s="10">
        <v>43881536</v>
      </c>
      <c r="G22" s="10">
        <v>9492002</v>
      </c>
      <c r="H22" s="10">
        <v>83448779</v>
      </c>
      <c r="I22" s="10">
        <v>78749605.680000007</v>
      </c>
      <c r="J22" s="10">
        <v>2312859</v>
      </c>
      <c r="K22" s="10">
        <v>37624983</v>
      </c>
      <c r="L22" s="10">
        <v>38241629</v>
      </c>
      <c r="M22" s="10">
        <v>113446195</v>
      </c>
      <c r="N22" s="10">
        <v>255816419</v>
      </c>
      <c r="O22" s="10">
        <v>90371575</v>
      </c>
      <c r="P22" s="10">
        <v>5084435</v>
      </c>
      <c r="Q22" s="10">
        <v>18864461</v>
      </c>
      <c r="R22" s="10">
        <v>24834362</v>
      </c>
      <c r="S22" s="10">
        <v>2534247</v>
      </c>
      <c r="T22" s="10">
        <v>283970794</v>
      </c>
      <c r="U22" s="10">
        <v>1907225</v>
      </c>
      <c r="V22" s="10">
        <v>7094918</v>
      </c>
      <c r="W22" s="10">
        <v>4018527</v>
      </c>
      <c r="X22" s="10">
        <v>111528498</v>
      </c>
      <c r="Y22" s="10">
        <v>50118252</v>
      </c>
      <c r="Z22" s="10">
        <v>46118807</v>
      </c>
      <c r="AA22" s="10"/>
      <c r="AB22" s="10">
        <v>21368436</v>
      </c>
      <c r="AC22" s="10">
        <v>112382764</v>
      </c>
      <c r="AD22" s="10">
        <v>400203048</v>
      </c>
      <c r="AE22" s="10">
        <v>232879238</v>
      </c>
      <c r="AF22" s="10">
        <v>290461945</v>
      </c>
      <c r="AG22" s="10">
        <v>26023787</v>
      </c>
      <c r="AH22" s="11">
        <f t="shared" si="2"/>
        <v>2760390447.6800003</v>
      </c>
    </row>
    <row r="23" spans="1:34" x14ac:dyDescent="0.25">
      <c r="A23" s="28" t="s">
        <v>66</v>
      </c>
      <c r="B23" s="10">
        <v>1626275</v>
      </c>
      <c r="C23" s="10">
        <v>5781843</v>
      </c>
      <c r="D23" s="10">
        <v>1133452</v>
      </c>
      <c r="E23" s="10">
        <v>39942298</v>
      </c>
      <c r="F23" s="10">
        <v>9952549</v>
      </c>
      <c r="G23" s="10">
        <v>12112620</v>
      </c>
      <c r="H23" s="10">
        <v>22307133</v>
      </c>
      <c r="I23" s="10">
        <v>8576156.6199999992</v>
      </c>
      <c r="J23" s="10">
        <v>1132730</v>
      </c>
      <c r="K23" s="10">
        <v>12667878</v>
      </c>
      <c r="L23" s="10">
        <v>15779753</v>
      </c>
      <c r="M23" s="10">
        <v>41127450</v>
      </c>
      <c r="N23" s="10">
        <v>63245047</v>
      </c>
      <c r="O23" s="10">
        <v>25017254</v>
      </c>
      <c r="P23" s="10">
        <v>3244123</v>
      </c>
      <c r="Q23" s="10">
        <v>6744410</v>
      </c>
      <c r="R23" s="10">
        <v>4862670</v>
      </c>
      <c r="S23" s="10">
        <v>3989018</v>
      </c>
      <c r="T23" s="10">
        <v>68449240</v>
      </c>
      <c r="U23" s="10">
        <v>1845145</v>
      </c>
      <c r="V23" s="10">
        <v>7900531</v>
      </c>
      <c r="W23" s="10">
        <v>1742451</v>
      </c>
      <c r="X23" s="10">
        <v>20382149</v>
      </c>
      <c r="Y23" s="10">
        <v>11460840</v>
      </c>
      <c r="Z23" s="10">
        <v>27277009</v>
      </c>
      <c r="AA23" s="10"/>
      <c r="AB23" s="10">
        <v>50010892</v>
      </c>
      <c r="AC23" s="10">
        <v>35329192</v>
      </c>
      <c r="AD23" s="10">
        <v>149932880</v>
      </c>
      <c r="AE23" s="10">
        <v>68007249</v>
      </c>
      <c r="AF23" s="10">
        <v>83173110</v>
      </c>
      <c r="AG23" s="10">
        <v>6649856</v>
      </c>
      <c r="AH23" s="11">
        <f t="shared" si="2"/>
        <v>811403203.62</v>
      </c>
    </row>
    <row r="24" spans="1:34" s="44" customFormat="1" x14ac:dyDescent="0.25">
      <c r="A24" s="19" t="s">
        <v>256</v>
      </c>
      <c r="B24" s="43">
        <f>B22+B23</f>
        <v>4919633</v>
      </c>
      <c r="C24" s="43">
        <f t="shared" ref="C24:AG24" si="5">C22+C23</f>
        <v>11221725</v>
      </c>
      <c r="D24" s="43">
        <f t="shared" si="5"/>
        <v>216977613</v>
      </c>
      <c r="E24" s="43">
        <f t="shared" si="5"/>
        <v>182976018</v>
      </c>
      <c r="F24" s="43">
        <f t="shared" si="5"/>
        <v>53834085</v>
      </c>
      <c r="G24" s="43">
        <f t="shared" si="5"/>
        <v>21604622</v>
      </c>
      <c r="H24" s="43">
        <f t="shared" si="5"/>
        <v>105755912</v>
      </c>
      <c r="I24" s="43">
        <f t="shared" si="5"/>
        <v>87325762.300000012</v>
      </c>
      <c r="J24" s="43">
        <f t="shared" si="5"/>
        <v>3445589</v>
      </c>
      <c r="K24" s="43">
        <f t="shared" si="5"/>
        <v>50292861</v>
      </c>
      <c r="L24" s="43">
        <f t="shared" si="5"/>
        <v>54021382</v>
      </c>
      <c r="M24" s="43">
        <f t="shared" si="5"/>
        <v>154573645</v>
      </c>
      <c r="N24" s="43">
        <f t="shared" si="5"/>
        <v>319061466</v>
      </c>
      <c r="O24" s="43">
        <f t="shared" si="5"/>
        <v>115388829</v>
      </c>
      <c r="P24" s="43">
        <f t="shared" si="5"/>
        <v>8328558</v>
      </c>
      <c r="Q24" s="43">
        <f t="shared" si="5"/>
        <v>25608871</v>
      </c>
      <c r="R24" s="43">
        <f t="shared" si="5"/>
        <v>29697032</v>
      </c>
      <c r="S24" s="43">
        <f t="shared" si="5"/>
        <v>6523265</v>
      </c>
      <c r="T24" s="43">
        <f t="shared" si="5"/>
        <v>352420034</v>
      </c>
      <c r="U24" s="43">
        <f t="shared" si="5"/>
        <v>3752370</v>
      </c>
      <c r="V24" s="43">
        <f t="shared" si="5"/>
        <v>14995449</v>
      </c>
      <c r="W24" s="43">
        <f t="shared" si="5"/>
        <v>5760978</v>
      </c>
      <c r="X24" s="43">
        <f t="shared" si="5"/>
        <v>131910647</v>
      </c>
      <c r="Y24" s="43">
        <f t="shared" si="5"/>
        <v>61579092</v>
      </c>
      <c r="Z24" s="43">
        <f t="shared" si="5"/>
        <v>73395816</v>
      </c>
      <c r="AA24" s="43">
        <f t="shared" si="5"/>
        <v>0</v>
      </c>
      <c r="AB24" s="43">
        <f t="shared" si="5"/>
        <v>71379328</v>
      </c>
      <c r="AC24" s="43">
        <f t="shared" si="5"/>
        <v>147711956</v>
      </c>
      <c r="AD24" s="43">
        <f t="shared" si="5"/>
        <v>550135928</v>
      </c>
      <c r="AE24" s="43">
        <f t="shared" si="5"/>
        <v>300886487</v>
      </c>
      <c r="AF24" s="43">
        <f t="shared" si="5"/>
        <v>373635055</v>
      </c>
      <c r="AG24" s="43">
        <f t="shared" si="5"/>
        <v>32673643</v>
      </c>
      <c r="AH24" s="11">
        <f t="shared" si="2"/>
        <v>3571793651.3000002</v>
      </c>
    </row>
    <row r="25" spans="1:34" s="8" customFormat="1" x14ac:dyDescent="0.25">
      <c r="A25" s="3" t="s">
        <v>257</v>
      </c>
      <c r="B25" s="11">
        <f>B21-B24</f>
        <v>-4053133</v>
      </c>
      <c r="C25" s="11">
        <f t="shared" ref="C25:AG25" si="6">C21-C24</f>
        <v>-9428598</v>
      </c>
      <c r="D25" s="11">
        <f t="shared" si="6"/>
        <v>-99551614</v>
      </c>
      <c r="E25" s="11">
        <f t="shared" si="6"/>
        <v>-156386414</v>
      </c>
      <c r="F25" s="11">
        <f t="shared" si="6"/>
        <v>-40143407</v>
      </c>
      <c r="G25" s="11">
        <f t="shared" si="6"/>
        <v>-19459538</v>
      </c>
      <c r="H25" s="11">
        <f t="shared" si="6"/>
        <v>-94178985</v>
      </c>
      <c r="I25" s="11">
        <f t="shared" si="6"/>
        <v>-62830448.890000015</v>
      </c>
      <c r="J25" s="11">
        <f t="shared" si="6"/>
        <v>-2468425</v>
      </c>
      <c r="K25" s="11">
        <f t="shared" si="6"/>
        <v>-43297644</v>
      </c>
      <c r="L25" s="11">
        <f t="shared" si="6"/>
        <v>-48876438</v>
      </c>
      <c r="M25" s="11">
        <f t="shared" si="6"/>
        <v>-137382733</v>
      </c>
      <c r="N25" s="11">
        <f t="shared" si="6"/>
        <v>-241908525</v>
      </c>
      <c r="O25" s="11">
        <f t="shared" si="6"/>
        <v>-97635211</v>
      </c>
      <c r="P25" s="11">
        <f t="shared" si="6"/>
        <v>-7707349</v>
      </c>
      <c r="Q25" s="11">
        <f t="shared" si="6"/>
        <v>-22446198</v>
      </c>
      <c r="R25" s="11">
        <f t="shared" si="6"/>
        <v>-27540226</v>
      </c>
      <c r="S25" s="11">
        <f t="shared" si="6"/>
        <v>-5585156</v>
      </c>
      <c r="T25" s="11">
        <f t="shared" si="6"/>
        <v>-270168242</v>
      </c>
      <c r="U25" s="11">
        <f t="shared" si="6"/>
        <v>-3239939</v>
      </c>
      <c r="V25" s="11">
        <f t="shared" si="6"/>
        <v>-12217434</v>
      </c>
      <c r="W25" s="11">
        <f t="shared" si="6"/>
        <v>-5335277</v>
      </c>
      <c r="X25" s="11">
        <f t="shared" si="6"/>
        <v>-111592683</v>
      </c>
      <c r="Y25" s="11">
        <f t="shared" si="6"/>
        <v>-52257986</v>
      </c>
      <c r="Z25" s="11">
        <f t="shared" si="6"/>
        <v>-60323105</v>
      </c>
      <c r="AA25" s="11">
        <f t="shared" si="6"/>
        <v>0</v>
      </c>
      <c r="AB25" s="11">
        <f t="shared" si="6"/>
        <v>-53210929</v>
      </c>
      <c r="AC25" s="11">
        <f t="shared" si="6"/>
        <v>-135107218</v>
      </c>
      <c r="AD25" s="11">
        <f t="shared" si="6"/>
        <v>-348598920</v>
      </c>
      <c r="AE25" s="11">
        <f t="shared" si="6"/>
        <v>-188911869</v>
      </c>
      <c r="AF25" s="11">
        <f t="shared" si="6"/>
        <v>-288814293</v>
      </c>
      <c r="AG25" s="11">
        <f t="shared" si="6"/>
        <v>-23789161</v>
      </c>
      <c r="AH25" s="11">
        <f t="shared" si="2"/>
        <v>-2674447098.8899999</v>
      </c>
    </row>
    <row r="26" spans="1:34" ht="30" x14ac:dyDescent="0.25">
      <c r="A26" s="28" t="s">
        <v>258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>
        <v>4338444</v>
      </c>
      <c r="U26" s="10"/>
      <c r="V26" s="10"/>
      <c r="W26" s="10"/>
      <c r="X26" s="10"/>
      <c r="Y26" s="10"/>
      <c r="Z26" s="10"/>
      <c r="AA26" s="10"/>
      <c r="AB26" s="10"/>
      <c r="AC26" s="10"/>
      <c r="AD26" s="10">
        <v>11278851</v>
      </c>
      <c r="AE26" s="10">
        <v>8171454</v>
      </c>
      <c r="AF26" s="10"/>
      <c r="AG26" s="10"/>
      <c r="AH26" s="11">
        <f t="shared" si="2"/>
        <v>23788749</v>
      </c>
    </row>
    <row r="27" spans="1:34" ht="30" x14ac:dyDescent="0.25">
      <c r="A27" s="28" t="s">
        <v>259</v>
      </c>
      <c r="B27" s="10">
        <v>5848745</v>
      </c>
      <c r="C27" s="10">
        <v>11114477</v>
      </c>
      <c r="D27" s="10"/>
      <c r="E27" s="10"/>
      <c r="F27" s="10">
        <v>13157560</v>
      </c>
      <c r="G27" s="10">
        <v>2355957</v>
      </c>
      <c r="H27" s="10"/>
      <c r="I27" s="10"/>
      <c r="J27" s="10">
        <v>3101580</v>
      </c>
      <c r="K27" s="10"/>
      <c r="L27" s="10">
        <v>6195135</v>
      </c>
      <c r="M27" s="10"/>
      <c r="N27" s="10"/>
      <c r="O27" s="10"/>
      <c r="P27" s="10">
        <v>1433985</v>
      </c>
      <c r="Q27" s="10">
        <v>9852177</v>
      </c>
      <c r="R27" s="10">
        <v>9396</v>
      </c>
      <c r="S27" s="10">
        <v>11040902</v>
      </c>
      <c r="T27" s="10">
        <v>52387690</v>
      </c>
      <c r="U27" s="10">
        <v>2286044</v>
      </c>
      <c r="V27" s="10">
        <v>9532207</v>
      </c>
      <c r="W27" s="10">
        <v>1758354</v>
      </c>
      <c r="X27" s="10"/>
      <c r="Y27" s="10"/>
      <c r="Z27" s="10"/>
      <c r="AA27" s="10"/>
      <c r="AB27" s="10">
        <v>9343132</v>
      </c>
      <c r="AC27" s="10"/>
      <c r="AD27" s="10"/>
      <c r="AE27" s="10"/>
      <c r="AF27" s="10">
        <v>3977244</v>
      </c>
      <c r="AG27" s="10"/>
      <c r="AH27" s="11">
        <f t="shared" si="2"/>
        <v>143394585</v>
      </c>
    </row>
    <row r="28" spans="1:34" s="8" customFormat="1" x14ac:dyDescent="0.25">
      <c r="A28" s="3" t="s">
        <v>48</v>
      </c>
      <c r="B28" s="11">
        <v>7960103</v>
      </c>
      <c r="C28" s="11">
        <v>15061236</v>
      </c>
      <c r="D28" s="11">
        <v>47848378</v>
      </c>
      <c r="E28" s="11">
        <v>79479014</v>
      </c>
      <c r="F28" s="11">
        <v>25356162</v>
      </c>
      <c r="G28" s="11">
        <v>11476268</v>
      </c>
      <c r="H28" s="11">
        <v>20445822</v>
      </c>
      <c r="I28" s="11">
        <v>74311125.900000006</v>
      </c>
      <c r="J28" s="11">
        <v>4250375</v>
      </c>
      <c r="K28" s="11">
        <v>11556528</v>
      </c>
      <c r="L28" s="11">
        <v>18968726</v>
      </c>
      <c r="M28" s="11">
        <v>37719312</v>
      </c>
      <c r="N28" s="11">
        <v>88488249</v>
      </c>
      <c r="O28" s="11">
        <v>28285470</v>
      </c>
      <c r="P28" s="11">
        <v>3303382</v>
      </c>
      <c r="Q28" s="11">
        <v>18344128</v>
      </c>
      <c r="R28" s="11">
        <v>4386646</v>
      </c>
      <c r="S28" s="11">
        <v>13697915</v>
      </c>
      <c r="T28" s="11">
        <v>90992798.557451099</v>
      </c>
      <c r="U28" s="11">
        <v>4958183</v>
      </c>
      <c r="V28" s="11">
        <v>14805867</v>
      </c>
      <c r="W28" s="11">
        <v>3571782</v>
      </c>
      <c r="X28" s="11">
        <v>24056462</v>
      </c>
      <c r="Y28" s="11">
        <v>15926503</v>
      </c>
      <c r="Z28" s="11">
        <v>29115273</v>
      </c>
      <c r="AA28" s="11"/>
      <c r="AB28" s="11">
        <v>45122712</v>
      </c>
      <c r="AC28" s="11">
        <v>42628002</v>
      </c>
      <c r="AD28" s="11">
        <v>393510355</v>
      </c>
      <c r="AE28" s="11">
        <v>82468068</v>
      </c>
      <c r="AF28" s="11">
        <v>83437487</v>
      </c>
      <c r="AG28" s="11">
        <v>10554336</v>
      </c>
      <c r="AH28" s="11">
        <f t="shared" si="2"/>
        <v>1352086668.4574511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33.140625" style="7" customWidth="1"/>
    <col min="2" max="33" width="16" style="7" customWidth="1"/>
    <col min="34" max="34" width="16" style="8" customWidth="1"/>
    <col min="35" max="16384" width="9.140625" style="7"/>
  </cols>
  <sheetData>
    <row r="1" spans="1:34" ht="18.75" x14ac:dyDescent="0.3">
      <c r="A1" s="5" t="s">
        <v>238</v>
      </c>
    </row>
    <row r="2" spans="1:34" x14ac:dyDescent="0.25">
      <c r="A2" s="18" t="s">
        <v>40</v>
      </c>
    </row>
    <row r="3" spans="1:34" x14ac:dyDescent="0.25">
      <c r="A3" s="35" t="s">
        <v>224</v>
      </c>
    </row>
    <row r="4" spans="1:34" x14ac:dyDescent="0.25">
      <c r="A4" s="1" t="s">
        <v>0</v>
      </c>
      <c r="B4" s="89" t="s">
        <v>1</v>
      </c>
      <c r="C4" s="89" t="s">
        <v>290</v>
      </c>
      <c r="D4" s="89" t="s">
        <v>3</v>
      </c>
      <c r="E4" s="89" t="s">
        <v>4</v>
      </c>
      <c r="F4" s="89" t="s">
        <v>5</v>
      </c>
      <c r="G4" s="89" t="s">
        <v>291</v>
      </c>
      <c r="H4" s="89" t="s">
        <v>292</v>
      </c>
      <c r="I4" s="89" t="s">
        <v>8</v>
      </c>
      <c r="J4" s="89" t="s">
        <v>7</v>
      </c>
      <c r="K4" s="89" t="s">
        <v>9</v>
      </c>
      <c r="L4" s="89" t="s">
        <v>288</v>
      </c>
      <c r="M4" s="89" t="s">
        <v>11</v>
      </c>
      <c r="N4" s="89" t="s">
        <v>12</v>
      </c>
      <c r="O4" s="89" t="s">
        <v>13</v>
      </c>
      <c r="P4" s="89" t="s">
        <v>14</v>
      </c>
      <c r="Q4" s="89" t="s">
        <v>15</v>
      </c>
      <c r="R4" s="89" t="s">
        <v>16</v>
      </c>
      <c r="S4" s="89" t="s">
        <v>293</v>
      </c>
      <c r="T4" s="92" t="s">
        <v>17</v>
      </c>
      <c r="U4" s="92" t="s">
        <v>294</v>
      </c>
      <c r="V4" s="92" t="s">
        <v>313</v>
      </c>
      <c r="W4" s="89" t="s">
        <v>289</v>
      </c>
      <c r="X4" s="89" t="s">
        <v>295</v>
      </c>
      <c r="Y4" s="89" t="s">
        <v>20</v>
      </c>
      <c r="Z4" s="89" t="s">
        <v>21</v>
      </c>
      <c r="AA4" s="89" t="s">
        <v>22</v>
      </c>
      <c r="AB4" s="89" t="s">
        <v>23</v>
      </c>
      <c r="AC4" s="89" t="s">
        <v>24</v>
      </c>
      <c r="AD4" s="88" t="s">
        <v>296</v>
      </c>
      <c r="AE4" s="88" t="s">
        <v>297</v>
      </c>
      <c r="AF4" s="88" t="s">
        <v>25</v>
      </c>
      <c r="AG4" s="89" t="s">
        <v>26</v>
      </c>
      <c r="AH4" s="85" t="s">
        <v>27</v>
      </c>
    </row>
    <row r="5" spans="1:34" x14ac:dyDescent="0.25">
      <c r="A5" s="10" t="s">
        <v>278</v>
      </c>
      <c r="B5" s="10">
        <v>69</v>
      </c>
      <c r="C5" s="10"/>
      <c r="D5" s="10"/>
      <c r="E5" s="10">
        <v>6148024</v>
      </c>
      <c r="F5" s="10"/>
      <c r="G5" s="10"/>
      <c r="H5" s="10">
        <v>1262839</v>
      </c>
      <c r="I5" s="10"/>
      <c r="J5" s="10">
        <v>63980</v>
      </c>
      <c r="K5" s="10">
        <v>1578100</v>
      </c>
      <c r="L5" s="10">
        <v>977977</v>
      </c>
      <c r="M5" s="10">
        <v>4513065</v>
      </c>
      <c r="N5" s="10">
        <v>9551429</v>
      </c>
      <c r="O5" s="10">
        <v>3651921</v>
      </c>
      <c r="P5" s="10">
        <v>97533</v>
      </c>
      <c r="Q5" s="10">
        <v>431622</v>
      </c>
      <c r="R5" s="10">
        <v>485397</v>
      </c>
      <c r="S5" s="10"/>
      <c r="T5" s="10">
        <v>3980814.1026125001</v>
      </c>
      <c r="U5" s="10">
        <v>-4817</v>
      </c>
      <c r="V5" s="10"/>
      <c r="W5" s="10">
        <v>33576</v>
      </c>
      <c r="X5" s="10">
        <v>4301062</v>
      </c>
      <c r="Y5" s="10">
        <v>1067212</v>
      </c>
      <c r="Z5" s="10">
        <v>3267456</v>
      </c>
      <c r="AA5" s="10">
        <v>106584</v>
      </c>
      <c r="AB5" s="10"/>
      <c r="AC5" s="10">
        <v>5530390</v>
      </c>
      <c r="AD5" s="10">
        <v>16347475</v>
      </c>
      <c r="AE5" s="10">
        <v>6532475</v>
      </c>
      <c r="AF5" s="10">
        <v>6441033</v>
      </c>
      <c r="AG5" s="10">
        <v>1027219</v>
      </c>
      <c r="AH5" s="11">
        <f>SUM(B5:AG5)</f>
        <v>77392435.102612495</v>
      </c>
    </row>
    <row r="6" spans="1:34" x14ac:dyDescent="0.25">
      <c r="A6" s="10" t="s">
        <v>281</v>
      </c>
      <c r="B6" s="10"/>
      <c r="C6" s="10"/>
      <c r="D6" s="10"/>
      <c r="E6" s="10">
        <v>202285</v>
      </c>
      <c r="F6" s="10"/>
      <c r="G6" s="10"/>
      <c r="H6" s="10">
        <v>27385</v>
      </c>
      <c r="I6" s="10"/>
      <c r="J6" s="10">
        <v>7903</v>
      </c>
      <c r="K6" s="10">
        <v>274281</v>
      </c>
      <c r="L6" s="10">
        <v>1357716</v>
      </c>
      <c r="M6" s="10">
        <v>827935</v>
      </c>
      <c r="N6" s="10">
        <v>306764</v>
      </c>
      <c r="O6" s="10">
        <v>280744</v>
      </c>
      <c r="P6" s="10">
        <v>20475</v>
      </c>
      <c r="Q6" s="10">
        <v>10120</v>
      </c>
      <c r="R6" s="10">
        <v>253296</v>
      </c>
      <c r="S6" s="10"/>
      <c r="T6" s="10">
        <v>149531.97303125</v>
      </c>
      <c r="U6" s="10">
        <v>861</v>
      </c>
      <c r="V6" s="10"/>
      <c r="W6" s="10">
        <v>29822</v>
      </c>
      <c r="X6" s="10">
        <v>337563</v>
      </c>
      <c r="Y6" s="10">
        <v>333075</v>
      </c>
      <c r="Z6" s="10">
        <v>-646</v>
      </c>
      <c r="AA6" s="10">
        <v>8628</v>
      </c>
      <c r="AB6" s="10"/>
      <c r="AC6" s="10">
        <v>459009</v>
      </c>
      <c r="AD6" s="10">
        <v>1891482</v>
      </c>
      <c r="AE6" s="10">
        <v>201449</v>
      </c>
      <c r="AF6" s="10">
        <v>650477</v>
      </c>
      <c r="AG6" s="10">
        <v>4305</v>
      </c>
      <c r="AH6" s="11">
        <f>SUM(B6:AG6)</f>
        <v>7634460.9730312498</v>
      </c>
    </row>
    <row r="7" spans="1:34" x14ac:dyDescent="0.25">
      <c r="A7" s="10" t="s">
        <v>282</v>
      </c>
      <c r="B7" s="10">
        <v>6</v>
      </c>
      <c r="C7" s="10"/>
      <c r="D7" s="10"/>
      <c r="E7" s="10">
        <v>5709860</v>
      </c>
      <c r="F7" s="10"/>
      <c r="G7" s="10"/>
      <c r="H7" s="10">
        <v>898294</v>
      </c>
      <c r="I7" s="10"/>
      <c r="J7" s="10">
        <v>66547</v>
      </c>
      <c r="K7" s="10">
        <v>1218555</v>
      </c>
      <c r="L7" s="10">
        <v>2056564</v>
      </c>
      <c r="M7" s="10">
        <v>-4239985</v>
      </c>
      <c r="N7" s="10">
        <v>7505563</v>
      </c>
      <c r="O7" s="10">
        <v>3390666</v>
      </c>
      <c r="P7" s="10">
        <v>93567</v>
      </c>
      <c r="Q7" s="10">
        <v>405828</v>
      </c>
      <c r="R7" s="10">
        <v>-647863</v>
      </c>
      <c r="S7" s="10"/>
      <c r="T7" s="10">
        <v>692016.98818750004</v>
      </c>
      <c r="U7" s="10">
        <v>-6178</v>
      </c>
      <c r="V7" s="10"/>
      <c r="W7" s="10">
        <v>75738</v>
      </c>
      <c r="X7" s="10">
        <v>3190763</v>
      </c>
      <c r="Y7" s="10">
        <v>-1229747</v>
      </c>
      <c r="Z7" s="10">
        <v>2380313</v>
      </c>
      <c r="AA7" s="10">
        <v>70172</v>
      </c>
      <c r="AB7" s="10"/>
      <c r="AC7" s="10">
        <v>4667335</v>
      </c>
      <c r="AD7" s="10">
        <v>10942555</v>
      </c>
      <c r="AE7" s="10">
        <v>4242435</v>
      </c>
      <c r="AF7" s="10">
        <v>3519856</v>
      </c>
      <c r="AG7" s="10">
        <v>867165</v>
      </c>
      <c r="AH7" s="11">
        <f>SUM(B7:AG7)</f>
        <v>45870025.988187499</v>
      </c>
    </row>
    <row r="8" spans="1:34" x14ac:dyDescent="0.25">
      <c r="A8" s="10" t="s">
        <v>236</v>
      </c>
      <c r="B8" s="10">
        <v>63</v>
      </c>
      <c r="C8" s="10"/>
      <c r="D8" s="10"/>
      <c r="E8" s="10">
        <v>640449</v>
      </c>
      <c r="F8" s="10"/>
      <c r="G8" s="10"/>
      <c r="H8" s="10">
        <v>391930</v>
      </c>
      <c r="I8" s="10"/>
      <c r="J8" s="10">
        <v>5336</v>
      </c>
      <c r="K8" s="10">
        <v>633825</v>
      </c>
      <c r="L8" s="10">
        <v>279129</v>
      </c>
      <c r="M8" s="10">
        <v>1101015</v>
      </c>
      <c r="N8" s="10">
        <v>2352630</v>
      </c>
      <c r="O8" s="10">
        <v>541999</v>
      </c>
      <c r="P8" s="10">
        <v>24441</v>
      </c>
      <c r="Q8" s="10">
        <v>35914</v>
      </c>
      <c r="R8" s="10">
        <v>90830</v>
      </c>
      <c r="S8" s="10"/>
      <c r="T8" s="10">
        <v>3438329.0874562496</v>
      </c>
      <c r="U8" s="10">
        <v>-10134</v>
      </c>
      <c r="V8" s="10"/>
      <c r="W8" s="10">
        <v>-12340</v>
      </c>
      <c r="X8" s="10">
        <v>1447862</v>
      </c>
      <c r="Y8" s="10">
        <v>170540</v>
      </c>
      <c r="Z8" s="10">
        <v>886497</v>
      </c>
      <c r="AA8" s="10">
        <v>45040</v>
      </c>
      <c r="AB8" s="10"/>
      <c r="AC8" s="10">
        <v>1322064</v>
      </c>
      <c r="AD8" s="10">
        <v>7296402</v>
      </c>
      <c r="AE8" s="10">
        <v>2491489</v>
      </c>
      <c r="AF8" s="10">
        <v>3571654</v>
      </c>
      <c r="AG8" s="10">
        <v>164359</v>
      </c>
      <c r="AH8" s="11">
        <f>SUM(B8:AG8)</f>
        <v>26909323.087456249</v>
      </c>
    </row>
    <row r="9" spans="1:34" ht="30" customHeight="1" x14ac:dyDescent="0.25">
      <c r="A9" s="90" t="s">
        <v>307</v>
      </c>
      <c r="B9" s="10">
        <v>-5</v>
      </c>
      <c r="C9" s="10"/>
      <c r="D9" s="10"/>
      <c r="E9" s="10">
        <v>1919730</v>
      </c>
      <c r="F9" s="10"/>
      <c r="G9" s="10"/>
      <c r="H9" s="10">
        <v>52295</v>
      </c>
      <c r="I9" s="10"/>
      <c r="J9" s="10">
        <v>1312</v>
      </c>
      <c r="K9" s="10">
        <v>214281</v>
      </c>
      <c r="L9" s="10">
        <v>210746</v>
      </c>
      <c r="M9" s="10">
        <f>-4209627+3792685</f>
        <v>-416942</v>
      </c>
      <c r="N9" s="10">
        <v>1033932</v>
      </c>
      <c r="O9" s="10">
        <v>335612</v>
      </c>
      <c r="P9" s="10">
        <v>4065</v>
      </c>
      <c r="Q9" s="10">
        <v>-11318</v>
      </c>
      <c r="R9" s="10">
        <v>39341</v>
      </c>
      <c r="S9" s="10"/>
      <c r="T9" s="10">
        <v>212462.481</v>
      </c>
      <c r="U9" s="10">
        <v>-10459</v>
      </c>
      <c r="V9" s="10"/>
      <c r="W9" s="10">
        <v>-6641</v>
      </c>
      <c r="X9" s="10">
        <v>1583914</v>
      </c>
      <c r="Y9" s="10">
        <v>-36000</v>
      </c>
      <c r="Z9" s="10">
        <v>-77036</v>
      </c>
      <c r="AA9" s="10">
        <v>-3224</v>
      </c>
      <c r="AB9" s="10"/>
      <c r="AC9" s="10">
        <v>-475720</v>
      </c>
      <c r="AD9" s="10">
        <v>957617</v>
      </c>
      <c r="AE9" s="10">
        <v>-172339</v>
      </c>
      <c r="AF9" s="10">
        <v>-584422</v>
      </c>
      <c r="AG9" s="10">
        <v>-29631</v>
      </c>
      <c r="AH9" s="11"/>
    </row>
    <row r="10" spans="1:34" x14ac:dyDescent="0.25">
      <c r="A10" s="10" t="s">
        <v>237</v>
      </c>
      <c r="B10" s="10">
        <v>68</v>
      </c>
      <c r="C10" s="10"/>
      <c r="D10" s="10"/>
      <c r="E10" s="10">
        <v>583631</v>
      </c>
      <c r="F10" s="10"/>
      <c r="G10" s="10"/>
      <c r="H10" s="10">
        <v>339635</v>
      </c>
      <c r="I10" s="10"/>
      <c r="J10" s="10">
        <v>4024</v>
      </c>
      <c r="K10" s="10">
        <v>419545</v>
      </c>
      <c r="L10" s="10">
        <v>68383</v>
      </c>
      <c r="M10" s="10">
        <v>684074</v>
      </c>
      <c r="N10" s="10">
        <v>1318698</v>
      </c>
      <c r="O10" s="10">
        <v>206387</v>
      </c>
      <c r="P10" s="10">
        <v>20376</v>
      </c>
      <c r="Q10" s="10">
        <v>47232</v>
      </c>
      <c r="R10" s="10">
        <v>51489</v>
      </c>
      <c r="S10" s="10"/>
      <c r="T10" s="10">
        <v>3225866.6064562495</v>
      </c>
      <c r="U10" s="10">
        <v>21046</v>
      </c>
      <c r="V10" s="10"/>
      <c r="W10" s="10">
        <v>-5698</v>
      </c>
      <c r="X10" s="10">
        <v>849257</v>
      </c>
      <c r="Y10" s="10">
        <v>134540</v>
      </c>
      <c r="Z10" s="10">
        <v>809461</v>
      </c>
      <c r="AA10" s="10">
        <v>48264</v>
      </c>
      <c r="AB10" s="10"/>
      <c r="AC10" s="10">
        <v>846344</v>
      </c>
      <c r="AD10" s="10">
        <v>6338785</v>
      </c>
      <c r="AE10" s="10">
        <v>2663828</v>
      </c>
      <c r="AF10" s="10">
        <v>2987232</v>
      </c>
      <c r="AG10" s="10">
        <v>134728</v>
      </c>
      <c r="AH10" s="11">
        <f>SUM(B10:AG10)</f>
        <v>21797195.60645625</v>
      </c>
    </row>
    <row r="12" spans="1:34" x14ac:dyDescent="0.25">
      <c r="A12" s="31" t="s">
        <v>225</v>
      </c>
    </row>
    <row r="13" spans="1:34" x14ac:dyDescent="0.25">
      <c r="A13" s="1" t="s">
        <v>0</v>
      </c>
      <c r="B13" s="89" t="s">
        <v>1</v>
      </c>
      <c r="C13" s="89" t="s">
        <v>290</v>
      </c>
      <c r="D13" s="89" t="s">
        <v>3</v>
      </c>
      <c r="E13" s="89" t="s">
        <v>4</v>
      </c>
      <c r="F13" s="89" t="s">
        <v>5</v>
      </c>
      <c r="G13" s="89" t="s">
        <v>291</v>
      </c>
      <c r="H13" s="89" t="s">
        <v>292</v>
      </c>
      <c r="I13" s="89" t="s">
        <v>8</v>
      </c>
      <c r="J13" s="89" t="s">
        <v>7</v>
      </c>
      <c r="K13" s="89" t="s">
        <v>9</v>
      </c>
      <c r="L13" s="89" t="s">
        <v>288</v>
      </c>
      <c r="M13" s="89" t="s">
        <v>11</v>
      </c>
      <c r="N13" s="89" t="s">
        <v>12</v>
      </c>
      <c r="O13" s="89" t="s">
        <v>13</v>
      </c>
      <c r="P13" s="89" t="s">
        <v>14</v>
      </c>
      <c r="Q13" s="89" t="s">
        <v>15</v>
      </c>
      <c r="R13" s="89" t="s">
        <v>16</v>
      </c>
      <c r="S13" s="89" t="s">
        <v>293</v>
      </c>
      <c r="T13" s="92" t="s">
        <v>17</v>
      </c>
      <c r="U13" s="92" t="s">
        <v>294</v>
      </c>
      <c r="V13" s="92" t="s">
        <v>313</v>
      </c>
      <c r="W13" s="89" t="s">
        <v>289</v>
      </c>
      <c r="X13" s="89" t="s">
        <v>295</v>
      </c>
      <c r="Y13" s="89" t="s">
        <v>20</v>
      </c>
      <c r="Z13" s="89" t="s">
        <v>21</v>
      </c>
      <c r="AA13" s="89" t="s">
        <v>22</v>
      </c>
      <c r="AB13" s="89" t="s">
        <v>23</v>
      </c>
      <c r="AC13" s="89" t="s">
        <v>24</v>
      </c>
      <c r="AD13" s="88" t="s">
        <v>296</v>
      </c>
      <c r="AE13" s="88" t="s">
        <v>297</v>
      </c>
      <c r="AF13" s="88" t="s">
        <v>25</v>
      </c>
      <c r="AG13" s="89" t="s">
        <v>26</v>
      </c>
      <c r="AH13" s="85" t="s">
        <v>27</v>
      </c>
    </row>
    <row r="14" spans="1:34" x14ac:dyDescent="0.25">
      <c r="A14" s="10" t="s">
        <v>278</v>
      </c>
      <c r="B14" s="10"/>
      <c r="C14" s="10"/>
      <c r="D14" s="10"/>
      <c r="E14" s="10">
        <v>649578</v>
      </c>
      <c r="F14" s="10"/>
      <c r="G14" s="10"/>
      <c r="H14" s="10">
        <v>230700</v>
      </c>
      <c r="I14" s="10"/>
      <c r="J14" s="10">
        <v>4532</v>
      </c>
      <c r="K14" s="10">
        <v>254077</v>
      </c>
      <c r="L14" s="10">
        <v>95208</v>
      </c>
      <c r="M14" s="10">
        <f>96118+480380</f>
        <v>576498</v>
      </c>
      <c r="N14" s="10">
        <v>1779200</v>
      </c>
      <c r="O14" s="10">
        <v>648694</v>
      </c>
      <c r="P14" s="10">
        <v>995</v>
      </c>
      <c r="Q14" s="10">
        <v>117342</v>
      </c>
      <c r="R14" s="10">
        <v>50585</v>
      </c>
      <c r="S14" s="10"/>
      <c r="T14" s="10">
        <v>611881.67506249994</v>
      </c>
      <c r="U14" s="10"/>
      <c r="V14" s="10"/>
      <c r="W14" s="10">
        <v>5</v>
      </c>
      <c r="X14" s="10">
        <v>379379</v>
      </c>
      <c r="Y14" s="10">
        <v>153147</v>
      </c>
      <c r="Z14" s="10">
        <v>173348</v>
      </c>
      <c r="AA14" s="10">
        <v>4052</v>
      </c>
      <c r="AB14" s="10"/>
      <c r="AC14" s="10">
        <v>1346240</v>
      </c>
      <c r="AD14" s="10">
        <v>2323752</v>
      </c>
      <c r="AE14" s="10">
        <v>1157907</v>
      </c>
      <c r="AF14" s="10">
        <v>995804</v>
      </c>
      <c r="AG14" s="10">
        <f>75614+54810</f>
        <v>130424</v>
      </c>
      <c r="AH14" s="11">
        <f t="shared" ref="AH14:AH19" si="0">SUM(B14:AG14)</f>
        <v>11683348.6750625</v>
      </c>
    </row>
    <row r="15" spans="1:34" x14ac:dyDescent="0.25">
      <c r="A15" s="10" t="s">
        <v>281</v>
      </c>
      <c r="B15" s="10"/>
      <c r="C15" s="10"/>
      <c r="D15" s="10"/>
      <c r="E15" s="10"/>
      <c r="F15" s="10"/>
      <c r="G15" s="10"/>
      <c r="H15" s="10">
        <v>15</v>
      </c>
      <c r="I15" s="10"/>
      <c r="J15" s="10"/>
      <c r="K15" s="10">
        <v>3539</v>
      </c>
      <c r="L15" s="10">
        <v>2900</v>
      </c>
      <c r="M15" s="10">
        <v>28718</v>
      </c>
      <c r="N15" s="10">
        <v>55909</v>
      </c>
      <c r="O15" s="10">
        <v>4854</v>
      </c>
      <c r="P15" s="10"/>
      <c r="Q15" s="10">
        <v>1349</v>
      </c>
      <c r="R15" s="10">
        <v>7348</v>
      </c>
      <c r="S15" s="10"/>
      <c r="T15" s="10">
        <v>3559.93525</v>
      </c>
      <c r="U15" s="10"/>
      <c r="V15" s="10"/>
      <c r="W15" s="10"/>
      <c r="X15" s="10"/>
      <c r="Y15" s="10">
        <v>-1508</v>
      </c>
      <c r="Z15" s="10">
        <v>11226</v>
      </c>
      <c r="AA15" s="10"/>
      <c r="AB15" s="10"/>
      <c r="AC15" s="10">
        <v>207231</v>
      </c>
      <c r="AD15" s="10">
        <v>38788</v>
      </c>
      <c r="AE15" s="10">
        <v>13335</v>
      </c>
      <c r="AF15" s="10">
        <v>3816</v>
      </c>
      <c r="AG15" s="10"/>
      <c r="AH15" s="11">
        <f t="shared" si="0"/>
        <v>381079.93524999998</v>
      </c>
    </row>
    <row r="16" spans="1:34" x14ac:dyDescent="0.25">
      <c r="A16" s="10" t="s">
        <v>282</v>
      </c>
      <c r="B16" s="10"/>
      <c r="C16" s="10"/>
      <c r="D16" s="10"/>
      <c r="E16" s="10">
        <v>240519</v>
      </c>
      <c r="F16" s="10"/>
      <c r="G16" s="10"/>
      <c r="H16" s="10">
        <v>129941</v>
      </c>
      <c r="I16" s="10"/>
      <c r="J16" s="10">
        <v>4293</v>
      </c>
      <c r="K16" s="10">
        <v>51848</v>
      </c>
      <c r="L16" s="10">
        <v>90646</v>
      </c>
      <c r="M16" s="10">
        <f>-95547-103412</f>
        <v>-198959</v>
      </c>
      <c r="N16" s="10">
        <v>605754</v>
      </c>
      <c r="O16" s="10">
        <v>326681</v>
      </c>
      <c r="P16" s="10">
        <v>859</v>
      </c>
      <c r="Q16" s="10">
        <v>37756</v>
      </c>
      <c r="R16" s="10">
        <v>-55810</v>
      </c>
      <c r="S16" s="10"/>
      <c r="T16" s="10">
        <v>288934.41717500001</v>
      </c>
      <c r="U16" s="10"/>
      <c r="V16" s="10"/>
      <c r="W16" s="10">
        <v>1</v>
      </c>
      <c r="X16" s="10">
        <v>303090</v>
      </c>
      <c r="Y16" s="10">
        <v>-78817</v>
      </c>
      <c r="Z16" s="10">
        <v>40249</v>
      </c>
      <c r="AA16" s="10">
        <v>2743</v>
      </c>
      <c r="AB16" s="10"/>
      <c r="AC16" s="10">
        <v>271792</v>
      </c>
      <c r="AD16" s="10">
        <v>1311393</v>
      </c>
      <c r="AE16" s="10">
        <v>571543</v>
      </c>
      <c r="AF16" s="10">
        <v>485639</v>
      </c>
      <c r="AG16" s="10">
        <f>75007+38235</f>
        <v>113242</v>
      </c>
      <c r="AH16" s="11">
        <f t="shared" si="0"/>
        <v>4543337.4171750005</v>
      </c>
    </row>
    <row r="17" spans="1:34" x14ac:dyDescent="0.25">
      <c r="A17" s="10" t="s">
        <v>236</v>
      </c>
      <c r="B17" s="10"/>
      <c r="C17" s="10"/>
      <c r="D17" s="10"/>
      <c r="E17" s="10">
        <v>409059</v>
      </c>
      <c r="F17" s="10"/>
      <c r="G17" s="10"/>
      <c r="H17" s="10">
        <v>100774</v>
      </c>
      <c r="I17" s="10"/>
      <c r="J17" s="10">
        <v>239</v>
      </c>
      <c r="K17" s="10">
        <v>205767</v>
      </c>
      <c r="L17" s="10">
        <v>7462</v>
      </c>
      <c r="M17" s="10">
        <f>571+405686</f>
        <v>406257</v>
      </c>
      <c r="N17" s="10">
        <v>1229355</v>
      </c>
      <c r="O17" s="10">
        <v>326867</v>
      </c>
      <c r="P17" s="10">
        <v>136</v>
      </c>
      <c r="Q17" s="10">
        <v>80935</v>
      </c>
      <c r="R17" s="10">
        <v>2123</v>
      </c>
      <c r="S17" s="10"/>
      <c r="T17" s="10">
        <v>326508.19313750009</v>
      </c>
      <c r="U17" s="10"/>
      <c r="V17" s="10"/>
      <c r="W17" s="10">
        <v>4</v>
      </c>
      <c r="X17" s="10">
        <v>76289</v>
      </c>
      <c r="Y17" s="10">
        <v>72822</v>
      </c>
      <c r="Z17" s="10">
        <v>144325</v>
      </c>
      <c r="AA17" s="10">
        <v>1310</v>
      </c>
      <c r="AB17" s="10"/>
      <c r="AC17" s="10">
        <v>1281679</v>
      </c>
      <c r="AD17" s="10">
        <v>1051148</v>
      </c>
      <c r="AE17" s="10">
        <v>599699</v>
      </c>
      <c r="AF17" s="10">
        <v>513981</v>
      </c>
      <c r="AG17" s="10">
        <f>607+16575</f>
        <v>17182</v>
      </c>
      <c r="AH17" s="11">
        <f t="shared" si="0"/>
        <v>6853921.1931375004</v>
      </c>
    </row>
    <row r="18" spans="1:34" ht="30" customHeight="1" x14ac:dyDescent="0.25">
      <c r="A18" s="90" t="s">
        <v>307</v>
      </c>
      <c r="B18" s="10"/>
      <c r="C18" s="10"/>
      <c r="D18" s="10"/>
      <c r="E18" s="10">
        <v>81445</v>
      </c>
      <c r="F18" s="10"/>
      <c r="G18" s="10"/>
      <c r="H18" s="10">
        <v>16353</v>
      </c>
      <c r="I18" s="10"/>
      <c r="J18" s="10">
        <v>-942</v>
      </c>
      <c r="K18" s="10">
        <v>56411</v>
      </c>
      <c r="L18" s="10">
        <v>3214</v>
      </c>
      <c r="M18" s="10">
        <f>-447375+324028-1140+609</f>
        <v>-123878</v>
      </c>
      <c r="N18" s="10">
        <v>434594</v>
      </c>
      <c r="O18" s="10">
        <v>103607</v>
      </c>
      <c r="P18" s="10">
        <v>113</v>
      </c>
      <c r="Q18" s="10">
        <v>9660</v>
      </c>
      <c r="R18" s="10">
        <v>-90</v>
      </c>
      <c r="S18" s="10"/>
      <c r="T18" s="10">
        <v>-14759.657200000001</v>
      </c>
      <c r="U18" s="10"/>
      <c r="V18" s="10"/>
      <c r="W18" s="10">
        <v>-48</v>
      </c>
      <c r="X18" s="10">
        <v>124170</v>
      </c>
      <c r="Y18" s="10">
        <v>-13353</v>
      </c>
      <c r="Z18" s="10">
        <v>-59613</v>
      </c>
      <c r="AA18" s="10">
        <v>-934</v>
      </c>
      <c r="AB18" s="10"/>
      <c r="AC18" s="10">
        <v>-329337</v>
      </c>
      <c r="AD18" s="10">
        <v>-60677</v>
      </c>
      <c r="AE18" s="10">
        <v>50106</v>
      </c>
      <c r="AF18" s="10">
        <v>10437</v>
      </c>
      <c r="AG18" s="10">
        <f>130-5118</f>
        <v>-4988</v>
      </c>
      <c r="AH18" s="11">
        <f t="shared" si="0"/>
        <v>281490.34279999998</v>
      </c>
    </row>
    <row r="19" spans="1:34" x14ac:dyDescent="0.25">
      <c r="A19" s="10" t="s">
        <v>237</v>
      </c>
      <c r="B19" s="10"/>
      <c r="C19" s="10"/>
      <c r="D19" s="10"/>
      <c r="E19" s="10">
        <v>269712</v>
      </c>
      <c r="F19" s="10"/>
      <c r="G19" s="10"/>
      <c r="H19" s="10">
        <v>84421</v>
      </c>
      <c r="I19" s="10"/>
      <c r="J19" s="10">
        <v>1181</v>
      </c>
      <c r="K19" s="10">
        <v>149356</v>
      </c>
      <c r="L19" s="10">
        <v>4248</v>
      </c>
      <c r="M19" s="10">
        <f>39+282338</f>
        <v>282377</v>
      </c>
      <c r="N19" s="10">
        <v>794761</v>
      </c>
      <c r="O19" s="10">
        <v>223260</v>
      </c>
      <c r="P19" s="10">
        <v>23</v>
      </c>
      <c r="Q19" s="10">
        <v>71275</v>
      </c>
      <c r="R19" s="10">
        <v>2213</v>
      </c>
      <c r="S19" s="10"/>
      <c r="T19" s="10">
        <v>341266.85033750004</v>
      </c>
      <c r="U19" s="10"/>
      <c r="V19" s="10"/>
      <c r="W19" s="10">
        <v>52</v>
      </c>
      <c r="X19" s="10">
        <v>41425</v>
      </c>
      <c r="Y19" s="10">
        <v>59469</v>
      </c>
      <c r="Z19" s="10">
        <v>84712</v>
      </c>
      <c r="AA19" s="10">
        <v>2244</v>
      </c>
      <c r="AB19" s="10"/>
      <c r="AC19" s="10">
        <v>952342</v>
      </c>
      <c r="AD19" s="10">
        <v>1111825</v>
      </c>
      <c r="AE19" s="10">
        <v>549593</v>
      </c>
      <c r="AF19" s="10">
        <v>524418</v>
      </c>
      <c r="AG19" s="10">
        <f>737+11457</f>
        <v>12194</v>
      </c>
      <c r="AH19" s="11">
        <f t="shared" si="0"/>
        <v>5562367.8503374998</v>
      </c>
    </row>
    <row r="21" spans="1:34" x14ac:dyDescent="0.25">
      <c r="A21" s="31" t="s">
        <v>226</v>
      </c>
    </row>
    <row r="22" spans="1:34" x14ac:dyDescent="0.25">
      <c r="A22" s="1" t="s">
        <v>0</v>
      </c>
      <c r="B22" s="89" t="s">
        <v>1</v>
      </c>
      <c r="C22" s="89" t="s">
        <v>290</v>
      </c>
      <c r="D22" s="89" t="s">
        <v>3</v>
      </c>
      <c r="E22" s="89" t="s">
        <v>4</v>
      </c>
      <c r="F22" s="89" t="s">
        <v>5</v>
      </c>
      <c r="G22" s="89" t="s">
        <v>291</v>
      </c>
      <c r="H22" s="89" t="s">
        <v>292</v>
      </c>
      <c r="I22" s="89" t="s">
        <v>8</v>
      </c>
      <c r="J22" s="89" t="s">
        <v>7</v>
      </c>
      <c r="K22" s="89" t="s">
        <v>9</v>
      </c>
      <c r="L22" s="89" t="s">
        <v>288</v>
      </c>
      <c r="M22" s="89" t="s">
        <v>11</v>
      </c>
      <c r="N22" s="89" t="s">
        <v>12</v>
      </c>
      <c r="O22" s="89" t="s">
        <v>13</v>
      </c>
      <c r="P22" s="89" t="s">
        <v>14</v>
      </c>
      <c r="Q22" s="89" t="s">
        <v>15</v>
      </c>
      <c r="R22" s="89" t="s">
        <v>16</v>
      </c>
      <c r="S22" s="89" t="s">
        <v>293</v>
      </c>
      <c r="T22" s="92" t="s">
        <v>17</v>
      </c>
      <c r="U22" s="92" t="s">
        <v>294</v>
      </c>
      <c r="V22" s="92" t="s">
        <v>313</v>
      </c>
      <c r="W22" s="89" t="s">
        <v>289</v>
      </c>
      <c r="X22" s="89" t="s">
        <v>295</v>
      </c>
      <c r="Y22" s="89" t="s">
        <v>20</v>
      </c>
      <c r="Z22" s="89" t="s">
        <v>21</v>
      </c>
      <c r="AA22" s="89" t="s">
        <v>22</v>
      </c>
      <c r="AB22" s="89" t="s">
        <v>23</v>
      </c>
      <c r="AC22" s="89" t="s">
        <v>24</v>
      </c>
      <c r="AD22" s="88" t="s">
        <v>296</v>
      </c>
      <c r="AE22" s="88" t="s">
        <v>297</v>
      </c>
      <c r="AF22" s="88" t="s">
        <v>25</v>
      </c>
      <c r="AG22" s="89" t="s">
        <v>26</v>
      </c>
      <c r="AH22" s="85" t="s">
        <v>27</v>
      </c>
    </row>
    <row r="23" spans="1:34" x14ac:dyDescent="0.25">
      <c r="A23" s="10" t="s">
        <v>278</v>
      </c>
      <c r="B23" s="10">
        <v>811375</v>
      </c>
      <c r="C23" s="10"/>
      <c r="D23" s="10"/>
      <c r="E23" s="10">
        <v>8667543</v>
      </c>
      <c r="F23" s="10"/>
      <c r="G23" s="10"/>
      <c r="H23" s="10">
        <v>5954367</v>
      </c>
      <c r="I23" s="10"/>
      <c r="J23" s="10">
        <v>301046</v>
      </c>
      <c r="K23" s="10">
        <v>2948562</v>
      </c>
      <c r="L23" s="10">
        <v>4192382</v>
      </c>
      <c r="M23" s="10">
        <f>3427691+2875142</f>
        <v>6302833</v>
      </c>
      <c r="N23" s="10">
        <v>11690804</v>
      </c>
      <c r="O23" s="10">
        <v>6550054</v>
      </c>
      <c r="P23" s="10">
        <v>529758</v>
      </c>
      <c r="Q23" s="10">
        <f>928594+772143</f>
        <v>1700737</v>
      </c>
      <c r="R23" s="10">
        <v>2068886</v>
      </c>
      <c r="S23" s="10"/>
      <c r="T23" s="10">
        <v>9509911.6832562499</v>
      </c>
      <c r="U23" s="10">
        <v>62187</v>
      </c>
      <c r="V23" s="10"/>
      <c r="W23" s="10">
        <f>208550+429778</f>
        <v>638328</v>
      </c>
      <c r="X23" s="10">
        <v>6168348</v>
      </c>
      <c r="Y23" s="10">
        <v>3625848</v>
      </c>
      <c r="Z23" s="10">
        <v>3791207</v>
      </c>
      <c r="AA23" s="10">
        <v>3207150</v>
      </c>
      <c r="AB23" s="10"/>
      <c r="AC23" s="10">
        <v>8823168</v>
      </c>
      <c r="AD23" s="10">
        <v>18671369</v>
      </c>
      <c r="AE23" s="10">
        <v>6653573</v>
      </c>
      <c r="AF23" s="10">
        <v>10354016</v>
      </c>
      <c r="AG23" s="10">
        <f>692964+990757</f>
        <v>1683721</v>
      </c>
      <c r="AH23" s="11">
        <f t="shared" ref="AH23:AH28" si="1">SUM(B23:AG23)</f>
        <v>124907173.68325625</v>
      </c>
    </row>
    <row r="24" spans="1:34" x14ac:dyDescent="0.25">
      <c r="A24" s="10" t="s">
        <v>281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>
        <v>674990</v>
      </c>
      <c r="M24" s="10"/>
      <c r="N24" s="10">
        <v>-70389</v>
      </c>
      <c r="O24" s="10"/>
      <c r="P24" s="10"/>
      <c r="Q24" s="10"/>
      <c r="R24" s="10"/>
      <c r="S24" s="10"/>
      <c r="T24" s="10">
        <v>714.83500000000004</v>
      </c>
      <c r="U24" s="10"/>
      <c r="V24" s="10"/>
      <c r="W24" s="10"/>
      <c r="X24" s="10"/>
      <c r="Y24" s="10"/>
      <c r="Z24" s="10"/>
      <c r="AA24" s="10"/>
      <c r="AB24" s="10"/>
      <c r="AC24" s="10"/>
      <c r="AD24" s="10">
        <v>21236</v>
      </c>
      <c r="AE24" s="10">
        <v>4232</v>
      </c>
      <c r="AF24" s="10">
        <v>0</v>
      </c>
      <c r="AG24" s="10"/>
      <c r="AH24" s="11">
        <f t="shared" si="1"/>
        <v>630783.83499999996</v>
      </c>
    </row>
    <row r="25" spans="1:34" x14ac:dyDescent="0.25">
      <c r="A25" s="10" t="s">
        <v>282</v>
      </c>
      <c r="B25" s="10">
        <v>532316</v>
      </c>
      <c r="C25" s="10"/>
      <c r="D25" s="10"/>
      <c r="E25" s="10">
        <v>790716</v>
      </c>
      <c r="F25" s="10"/>
      <c r="G25" s="10"/>
      <c r="H25" s="10">
        <v>1069541</v>
      </c>
      <c r="I25" s="10"/>
      <c r="J25" s="10">
        <v>20855</v>
      </c>
      <c r="K25" s="10">
        <v>168510</v>
      </c>
      <c r="L25" s="10">
        <v>307650</v>
      </c>
      <c r="M25" s="10">
        <f>-1513921-145321</f>
        <v>-1659242</v>
      </c>
      <c r="N25" s="10">
        <v>662775</v>
      </c>
      <c r="O25" s="10">
        <v>666704</v>
      </c>
      <c r="P25" s="10">
        <v>91812</v>
      </c>
      <c r="Q25" s="10">
        <f>78429+62146</f>
        <v>140575</v>
      </c>
      <c r="R25" s="10">
        <v>-560515</v>
      </c>
      <c r="S25" s="10"/>
      <c r="T25" s="10">
        <v>621819.77313124994</v>
      </c>
      <c r="U25" s="10">
        <v>-5447</v>
      </c>
      <c r="V25" s="10"/>
      <c r="W25" s="10">
        <f>14822+30545</f>
        <v>45367</v>
      </c>
      <c r="X25" s="10">
        <v>1521329</v>
      </c>
      <c r="Y25" s="10">
        <v>-587875</v>
      </c>
      <c r="Z25" s="10">
        <v>1689902</v>
      </c>
      <c r="AA25" s="10">
        <v>181484</v>
      </c>
      <c r="AB25" s="10"/>
      <c r="AC25" s="10">
        <v>1278569</v>
      </c>
      <c r="AD25" s="10">
        <v>1194544</v>
      </c>
      <c r="AE25" s="10">
        <v>373221</v>
      </c>
      <c r="AF25" s="10">
        <v>527962</v>
      </c>
      <c r="AG25" s="10">
        <f>4720+58440</f>
        <v>63160</v>
      </c>
      <c r="AH25" s="11">
        <f t="shared" si="1"/>
        <v>9135732.7731312495</v>
      </c>
    </row>
    <row r="26" spans="1:34" x14ac:dyDescent="0.25">
      <c r="A26" s="10" t="s">
        <v>236</v>
      </c>
      <c r="B26" s="10">
        <v>279059</v>
      </c>
      <c r="C26" s="10"/>
      <c r="D26" s="10"/>
      <c r="E26" s="10">
        <v>7876827</v>
      </c>
      <c r="F26" s="10"/>
      <c r="G26" s="10"/>
      <c r="H26" s="10">
        <v>4884826</v>
      </c>
      <c r="I26" s="10"/>
      <c r="J26" s="10">
        <v>280191</v>
      </c>
      <c r="K26" s="10">
        <v>2780052</v>
      </c>
      <c r="L26" s="10">
        <v>4559722</v>
      </c>
      <c r="M26" s="10">
        <f>1913770+2729821</f>
        <v>4643591</v>
      </c>
      <c r="N26" s="10">
        <v>10957640</v>
      </c>
      <c r="O26" s="10">
        <v>5883350</v>
      </c>
      <c r="P26" s="10">
        <v>437946</v>
      </c>
      <c r="Q26" s="10">
        <f>850165+709997</f>
        <v>1560162</v>
      </c>
      <c r="R26" s="10">
        <v>1508371</v>
      </c>
      <c r="S26" s="10"/>
      <c r="T26" s="10">
        <v>8888806.7451250013</v>
      </c>
      <c r="U26" s="10">
        <v>56740</v>
      </c>
      <c r="V26" s="10"/>
      <c r="W26" s="10">
        <f>193728+399233</f>
        <v>592961</v>
      </c>
      <c r="X26" s="10">
        <v>4647019</v>
      </c>
      <c r="Y26" s="10">
        <v>3037973</v>
      </c>
      <c r="Z26" s="10">
        <v>2101305</v>
      </c>
      <c r="AA26" s="10">
        <v>3025666</v>
      </c>
      <c r="AB26" s="10"/>
      <c r="AC26" s="10">
        <v>7544599</v>
      </c>
      <c r="AD26" s="10">
        <v>17498061</v>
      </c>
      <c r="AE26" s="10">
        <v>6284584</v>
      </c>
      <c r="AF26" s="10">
        <v>9826054</v>
      </c>
      <c r="AG26" s="10">
        <f>688244+932317</f>
        <v>1620561</v>
      </c>
      <c r="AH26" s="11">
        <f t="shared" si="1"/>
        <v>110776066.745125</v>
      </c>
    </row>
    <row r="27" spans="1:34" ht="30" customHeight="1" x14ac:dyDescent="0.25">
      <c r="A27" s="90" t="s">
        <v>307</v>
      </c>
      <c r="B27" s="10">
        <v>28567</v>
      </c>
      <c r="C27" s="10"/>
      <c r="D27" s="10"/>
      <c r="E27" s="10">
        <v>-88751</v>
      </c>
      <c r="F27" s="10"/>
      <c r="G27" s="10"/>
      <c r="H27" s="10">
        <v>-1616520</v>
      </c>
      <c r="I27" s="10"/>
      <c r="J27" s="10">
        <v>10064</v>
      </c>
      <c r="K27" s="10">
        <v>-473228</v>
      </c>
      <c r="L27" s="10">
        <v>-1451329</v>
      </c>
      <c r="M27" s="10">
        <f>-7094776+7977163-5340437+6114111</f>
        <v>1656061</v>
      </c>
      <c r="N27" s="10">
        <v>-5639299</v>
      </c>
      <c r="O27" s="10">
        <v>-2155513</v>
      </c>
      <c r="P27" s="10">
        <v>-235955</v>
      </c>
      <c r="Q27" s="10">
        <f>-459934-264464</f>
        <v>-724398</v>
      </c>
      <c r="R27" s="10">
        <v>-263019</v>
      </c>
      <c r="S27" s="10"/>
      <c r="T27" s="10">
        <v>-163531.22500000001</v>
      </c>
      <c r="U27" s="10">
        <v>-2160</v>
      </c>
      <c r="V27" s="10"/>
      <c r="W27" s="10">
        <f>58591+59721</f>
        <v>118312</v>
      </c>
      <c r="X27" s="10">
        <v>-979174</v>
      </c>
      <c r="Y27" s="10">
        <v>1150388</v>
      </c>
      <c r="Z27" s="10">
        <v>848905</v>
      </c>
      <c r="AA27" s="10">
        <v>-1703084</v>
      </c>
      <c r="AB27" s="10"/>
      <c r="AC27" s="10">
        <v>2531182</v>
      </c>
      <c r="AD27" s="10">
        <v>-7243057</v>
      </c>
      <c r="AE27" s="10">
        <v>-277389</v>
      </c>
      <c r="AF27" s="10">
        <v>581655</v>
      </c>
      <c r="AG27" s="10">
        <f>143045+59199</f>
        <v>202244</v>
      </c>
      <c r="AH27" s="11">
        <f t="shared" si="1"/>
        <v>-15889029.225</v>
      </c>
    </row>
    <row r="28" spans="1:34" x14ac:dyDescent="0.25">
      <c r="A28" s="10" t="s">
        <v>237</v>
      </c>
      <c r="B28" s="10">
        <v>250492</v>
      </c>
      <c r="C28" s="10"/>
      <c r="D28" s="10"/>
      <c r="E28" s="10">
        <v>11131444</v>
      </c>
      <c r="F28" s="10"/>
      <c r="G28" s="10"/>
      <c r="H28" s="10">
        <v>6501346</v>
      </c>
      <c r="I28" s="10"/>
      <c r="J28" s="10">
        <v>270127</v>
      </c>
      <c r="K28" s="10">
        <v>3253280</v>
      </c>
      <c r="L28" s="10">
        <v>6011051</v>
      </c>
      <c r="M28" s="10">
        <f>2687444+3612207</f>
        <v>6299651</v>
      </c>
      <c r="N28" s="10">
        <v>16596939</v>
      </c>
      <c r="O28" s="10">
        <v>8038863</v>
      </c>
      <c r="P28" s="10">
        <v>673901</v>
      </c>
      <c r="Q28" s="10">
        <f>1310099+974461</f>
        <v>2284560</v>
      </c>
      <c r="R28" s="10">
        <v>1771390</v>
      </c>
      <c r="S28" s="10"/>
      <c r="T28" s="10">
        <v>9052337.9701250009</v>
      </c>
      <c r="U28" s="10">
        <v>97773</v>
      </c>
      <c r="V28" s="10"/>
      <c r="W28" s="10">
        <f>135138+339512</f>
        <v>474650</v>
      </c>
      <c r="X28" s="10">
        <v>6327961</v>
      </c>
      <c r="Y28" s="10">
        <v>4188361</v>
      </c>
      <c r="Z28" s="10">
        <v>2950210</v>
      </c>
      <c r="AA28" s="10">
        <v>4728750</v>
      </c>
      <c r="AB28" s="10"/>
      <c r="AC28" s="10">
        <v>10075781</v>
      </c>
      <c r="AD28" s="10">
        <v>24741117</v>
      </c>
      <c r="AE28" s="10">
        <v>6561973</v>
      </c>
      <c r="AF28" s="10">
        <v>10407709</v>
      </c>
      <c r="AG28" s="10">
        <f>831289+991516</f>
        <v>1822805</v>
      </c>
      <c r="AH28" s="11">
        <f t="shared" si="1"/>
        <v>144512471.97012502</v>
      </c>
    </row>
    <row r="30" spans="1:34" x14ac:dyDescent="0.25">
      <c r="A30" s="31" t="s">
        <v>227</v>
      </c>
    </row>
    <row r="31" spans="1:34" x14ac:dyDescent="0.25">
      <c r="A31" s="1" t="s">
        <v>0</v>
      </c>
      <c r="B31" s="89" t="s">
        <v>1</v>
      </c>
      <c r="C31" s="89" t="s">
        <v>290</v>
      </c>
      <c r="D31" s="89" t="s">
        <v>3</v>
      </c>
      <c r="E31" s="89" t="s">
        <v>4</v>
      </c>
      <c r="F31" s="89" t="s">
        <v>5</v>
      </c>
      <c r="G31" s="89" t="s">
        <v>291</v>
      </c>
      <c r="H31" s="89" t="s">
        <v>292</v>
      </c>
      <c r="I31" s="89" t="s">
        <v>8</v>
      </c>
      <c r="J31" s="89" t="s">
        <v>7</v>
      </c>
      <c r="K31" s="89" t="s">
        <v>9</v>
      </c>
      <c r="L31" s="89" t="s">
        <v>288</v>
      </c>
      <c r="M31" s="89" t="s">
        <v>11</v>
      </c>
      <c r="N31" s="89" t="s">
        <v>12</v>
      </c>
      <c r="O31" s="89" t="s">
        <v>13</v>
      </c>
      <c r="P31" s="89" t="s">
        <v>14</v>
      </c>
      <c r="Q31" s="89" t="s">
        <v>15</v>
      </c>
      <c r="R31" s="89" t="s">
        <v>16</v>
      </c>
      <c r="S31" s="89" t="s">
        <v>293</v>
      </c>
      <c r="T31" s="92" t="s">
        <v>17</v>
      </c>
      <c r="U31" s="92" t="s">
        <v>294</v>
      </c>
      <c r="V31" s="92" t="s">
        <v>313</v>
      </c>
      <c r="W31" s="89" t="s">
        <v>289</v>
      </c>
      <c r="X31" s="89" t="s">
        <v>295</v>
      </c>
      <c r="Y31" s="89" t="s">
        <v>20</v>
      </c>
      <c r="Z31" s="89" t="s">
        <v>21</v>
      </c>
      <c r="AA31" s="89" t="s">
        <v>22</v>
      </c>
      <c r="AB31" s="89" t="s">
        <v>23</v>
      </c>
      <c r="AC31" s="89" t="s">
        <v>24</v>
      </c>
      <c r="AD31" s="88" t="s">
        <v>296</v>
      </c>
      <c r="AE31" s="88" t="s">
        <v>297</v>
      </c>
      <c r="AF31" s="88" t="s">
        <v>25</v>
      </c>
      <c r="AG31" s="89" t="s">
        <v>26</v>
      </c>
      <c r="AH31" s="85" t="s">
        <v>27</v>
      </c>
    </row>
    <row r="32" spans="1:34" x14ac:dyDescent="0.25">
      <c r="A32" s="10" t="s">
        <v>278</v>
      </c>
      <c r="B32" s="10"/>
      <c r="C32" s="10"/>
      <c r="D32" s="10"/>
      <c r="E32" s="10">
        <v>686475</v>
      </c>
      <c r="F32" s="10"/>
      <c r="G32" s="10"/>
      <c r="H32" s="10">
        <v>83663</v>
      </c>
      <c r="I32" s="10"/>
      <c r="J32" s="10">
        <v>13243</v>
      </c>
      <c r="K32" s="10">
        <v>132583</v>
      </c>
      <c r="L32" s="10">
        <v>55445</v>
      </c>
      <c r="M32" s="10">
        <v>578997</v>
      </c>
      <c r="N32" s="10">
        <v>1515237</v>
      </c>
      <c r="O32" s="10">
        <v>281288</v>
      </c>
      <c r="P32" s="10">
        <v>4980</v>
      </c>
      <c r="Q32" s="10">
        <v>88254</v>
      </c>
      <c r="R32" s="10">
        <v>20798</v>
      </c>
      <c r="S32" s="10"/>
      <c r="T32" s="10">
        <v>752907.19257499999</v>
      </c>
      <c r="U32" s="10"/>
      <c r="V32" s="10"/>
      <c r="W32" s="10">
        <v>11250</v>
      </c>
      <c r="X32" s="10">
        <v>545801</v>
      </c>
      <c r="Y32" s="10">
        <v>183782</v>
      </c>
      <c r="Z32" s="10">
        <v>132672</v>
      </c>
      <c r="AA32" s="10">
        <v>27435</v>
      </c>
      <c r="AB32" s="10"/>
      <c r="AC32" s="10">
        <v>301771</v>
      </c>
      <c r="AD32" s="10">
        <v>1985414</v>
      </c>
      <c r="AE32" s="10">
        <v>835418</v>
      </c>
      <c r="AF32" s="10">
        <v>855134</v>
      </c>
      <c r="AG32" s="10">
        <v>39501</v>
      </c>
      <c r="AH32" s="11">
        <f>SUM(B32:AG32)</f>
        <v>9132048.1925750002</v>
      </c>
    </row>
    <row r="33" spans="1:34" x14ac:dyDescent="0.25">
      <c r="A33" s="10" t="s">
        <v>281</v>
      </c>
      <c r="B33" s="10"/>
      <c r="C33" s="10"/>
      <c r="D33" s="10"/>
      <c r="E33" s="10">
        <v>24603</v>
      </c>
      <c r="F33" s="10"/>
      <c r="G33" s="10"/>
      <c r="H33" s="10">
        <v>5171</v>
      </c>
      <c r="I33" s="10"/>
      <c r="J33" s="10">
        <v>1204</v>
      </c>
      <c r="K33" s="10">
        <v>11847</v>
      </c>
      <c r="L33" s="10">
        <v>9107</v>
      </c>
      <c r="M33" s="10">
        <v>26705</v>
      </c>
      <c r="N33" s="10">
        <v>48329</v>
      </c>
      <c r="O33" s="10">
        <v>16415</v>
      </c>
      <c r="P33" s="10">
        <v>1204</v>
      </c>
      <c r="Q33" s="10">
        <v>3983</v>
      </c>
      <c r="R33" s="10">
        <v>5065</v>
      </c>
      <c r="S33" s="10"/>
      <c r="T33" s="10">
        <v>90026.375912499992</v>
      </c>
      <c r="U33" s="10">
        <v>241</v>
      </c>
      <c r="V33" s="10"/>
      <c r="W33" s="10">
        <v>16710</v>
      </c>
      <c r="X33" s="10">
        <v>16164</v>
      </c>
      <c r="Y33" s="10">
        <v>19636</v>
      </c>
      <c r="Z33" s="10">
        <v>1880</v>
      </c>
      <c r="AA33" s="10">
        <v>2390</v>
      </c>
      <c r="AB33" s="10"/>
      <c r="AC33" s="10">
        <v>21322</v>
      </c>
      <c r="AD33" s="10">
        <v>168926</v>
      </c>
      <c r="AE33" s="10">
        <v>9889</v>
      </c>
      <c r="AF33" s="10">
        <v>77393</v>
      </c>
      <c r="AG33" s="10">
        <v>1204</v>
      </c>
      <c r="AH33" s="11">
        <f>SUM(B33:AG33)</f>
        <v>579414.37591249996</v>
      </c>
    </row>
    <row r="34" spans="1:34" x14ac:dyDescent="0.25">
      <c r="A34" s="10" t="s">
        <v>282</v>
      </c>
      <c r="B34" s="10"/>
      <c r="C34" s="10"/>
      <c r="D34" s="10"/>
      <c r="E34" s="10">
        <v>629343</v>
      </c>
      <c r="F34" s="10"/>
      <c r="G34" s="10"/>
      <c r="H34" s="10">
        <v>47322</v>
      </c>
      <c r="I34" s="10"/>
      <c r="J34" s="10">
        <v>13009</v>
      </c>
      <c r="K34" s="10">
        <v>114279</v>
      </c>
      <c r="L34" s="10">
        <v>54788</v>
      </c>
      <c r="M34" s="10">
        <v>-448026</v>
      </c>
      <c r="N34" s="10">
        <v>1178388</v>
      </c>
      <c r="O34" s="10">
        <v>248408</v>
      </c>
      <c r="P34" s="10">
        <v>4840</v>
      </c>
      <c r="Q34" s="10">
        <v>93603</v>
      </c>
      <c r="R34" s="10">
        <v>-21839</v>
      </c>
      <c r="S34" s="10"/>
      <c r="T34" s="10">
        <v>227759.51658749999</v>
      </c>
      <c r="U34" s="10">
        <v>-25</v>
      </c>
      <c r="V34" s="10"/>
      <c r="W34" s="10">
        <v>21903</v>
      </c>
      <c r="X34" s="10">
        <v>447340</v>
      </c>
      <c r="Y34" s="10">
        <v>-171480</v>
      </c>
      <c r="Z34" s="10">
        <v>98041</v>
      </c>
      <c r="AA34" s="10">
        <v>12470</v>
      </c>
      <c r="AB34" s="10"/>
      <c r="AC34" s="10">
        <v>271156</v>
      </c>
      <c r="AD34" s="10">
        <v>1011841</v>
      </c>
      <c r="AE34" s="10">
        <v>390492</v>
      </c>
      <c r="AF34" s="10">
        <v>530486</v>
      </c>
      <c r="AG34" s="10">
        <v>39553</v>
      </c>
      <c r="AH34" s="11">
        <f>SUM(B34:AG34)</f>
        <v>4793651.5165874995</v>
      </c>
    </row>
    <row r="35" spans="1:34" x14ac:dyDescent="0.25">
      <c r="A35" s="10" t="s">
        <v>236</v>
      </c>
      <c r="B35" s="10"/>
      <c r="C35" s="10"/>
      <c r="D35" s="10"/>
      <c r="E35" s="10">
        <v>81735</v>
      </c>
      <c r="F35" s="10"/>
      <c r="G35" s="10"/>
      <c r="H35" s="10">
        <v>41512</v>
      </c>
      <c r="I35" s="10"/>
      <c r="J35" s="10">
        <v>1438</v>
      </c>
      <c r="K35" s="10">
        <v>30151</v>
      </c>
      <c r="L35" s="10">
        <v>9764</v>
      </c>
      <c r="M35" s="10">
        <v>157676</v>
      </c>
      <c r="N35" s="10">
        <v>385178</v>
      </c>
      <c r="O35" s="10">
        <v>49295</v>
      </c>
      <c r="P35" s="10">
        <v>1344</v>
      </c>
      <c r="Q35" s="10">
        <v>-1366</v>
      </c>
      <c r="R35" s="10">
        <v>4024</v>
      </c>
      <c r="S35" s="10"/>
      <c r="T35" s="10">
        <v>615174.05189999996</v>
      </c>
      <c r="U35" s="10">
        <v>216</v>
      </c>
      <c r="V35" s="10"/>
      <c r="W35" s="10">
        <v>6058</v>
      </c>
      <c r="X35" s="10">
        <v>114625</v>
      </c>
      <c r="Y35" s="10">
        <v>31938</v>
      </c>
      <c r="Z35" s="10">
        <v>36511</v>
      </c>
      <c r="AA35" s="10">
        <v>17355</v>
      </c>
      <c r="AB35" s="10"/>
      <c r="AC35" s="10">
        <v>51937</v>
      </c>
      <c r="AD35" s="10">
        <v>1142499</v>
      </c>
      <c r="AE35" s="10">
        <v>454815</v>
      </c>
      <c r="AF35" s="10">
        <v>402041</v>
      </c>
      <c r="AG35" s="10">
        <v>1152</v>
      </c>
      <c r="AH35" s="11">
        <f>SUM(B35:AG35)</f>
        <v>3635072.0518999998</v>
      </c>
    </row>
    <row r="36" spans="1:34" ht="30" customHeight="1" x14ac:dyDescent="0.25">
      <c r="A36" s="90" t="s">
        <v>307</v>
      </c>
      <c r="B36" s="10"/>
      <c r="C36" s="10"/>
      <c r="D36" s="10"/>
      <c r="E36" s="10">
        <v>154058</v>
      </c>
      <c r="F36" s="10"/>
      <c r="G36" s="10"/>
      <c r="H36" s="10">
        <v>3849</v>
      </c>
      <c r="I36" s="10"/>
      <c r="J36" s="10">
        <v>825</v>
      </c>
      <c r="K36" s="10">
        <v>6347</v>
      </c>
      <c r="L36" s="10">
        <v>5818</v>
      </c>
      <c r="M36" s="10">
        <f>-200877+193278</f>
        <v>-7599</v>
      </c>
      <c r="N36" s="10">
        <v>88833</v>
      </c>
      <c r="O36" s="10">
        <v>4841</v>
      </c>
      <c r="P36" s="10">
        <v>117</v>
      </c>
      <c r="Q36" s="10">
        <v>-17557</v>
      </c>
      <c r="R36" s="10">
        <v>60</v>
      </c>
      <c r="S36" s="10"/>
      <c r="T36" s="10">
        <v>66013.164000000004</v>
      </c>
      <c r="U36" s="10"/>
      <c r="V36" s="10"/>
      <c r="W36" s="10">
        <v>4150</v>
      </c>
      <c r="X36" s="10">
        <v>169208</v>
      </c>
      <c r="Y36" s="10">
        <v>-8387</v>
      </c>
      <c r="Z36" s="10">
        <v>2959</v>
      </c>
      <c r="AA36" s="10">
        <v>-3108</v>
      </c>
      <c r="AB36" s="10"/>
      <c r="AC36" s="10">
        <v>-26938</v>
      </c>
      <c r="AD36" s="10">
        <v>201589</v>
      </c>
      <c r="AE36" s="10">
        <v>39645</v>
      </c>
      <c r="AF36" s="10">
        <v>47907</v>
      </c>
      <c r="AG36" s="10">
        <v>-1470</v>
      </c>
      <c r="AH36" s="11"/>
    </row>
    <row r="37" spans="1:34" x14ac:dyDescent="0.25">
      <c r="A37" s="10" t="s">
        <v>237</v>
      </c>
      <c r="B37" s="10"/>
      <c r="C37" s="10"/>
      <c r="D37" s="10"/>
      <c r="E37" s="10">
        <v>68402</v>
      </c>
      <c r="F37" s="10"/>
      <c r="G37" s="10"/>
      <c r="H37" s="10">
        <v>37663</v>
      </c>
      <c r="I37" s="10"/>
      <c r="J37" s="10">
        <v>613</v>
      </c>
      <c r="K37" s="10">
        <v>23805</v>
      </c>
      <c r="L37" s="10">
        <v>3946</v>
      </c>
      <c r="M37" s="10">
        <v>150077</v>
      </c>
      <c r="N37" s="10">
        <v>296345</v>
      </c>
      <c r="O37" s="10">
        <v>44454</v>
      </c>
      <c r="P37" s="10">
        <v>1227</v>
      </c>
      <c r="Q37" s="10">
        <v>16191</v>
      </c>
      <c r="R37" s="10">
        <v>3964</v>
      </c>
      <c r="S37" s="10"/>
      <c r="T37" s="10">
        <v>549160.88789999997</v>
      </c>
      <c r="U37" s="10">
        <v>217</v>
      </c>
      <c r="V37" s="10"/>
      <c r="W37" s="10">
        <v>1908</v>
      </c>
      <c r="X37" s="10">
        <v>89231</v>
      </c>
      <c r="Y37" s="10">
        <v>23551</v>
      </c>
      <c r="Z37" s="10">
        <v>39470</v>
      </c>
      <c r="AA37" s="10">
        <v>20462</v>
      </c>
      <c r="AB37" s="10"/>
      <c r="AC37" s="10">
        <v>24999</v>
      </c>
      <c r="AD37" s="10">
        <v>940909</v>
      </c>
      <c r="AE37" s="10">
        <v>415170</v>
      </c>
      <c r="AF37" s="10">
        <v>449948</v>
      </c>
      <c r="AG37" s="10">
        <v>-318</v>
      </c>
      <c r="AH37" s="11">
        <f>SUM(B37:AG37)</f>
        <v>3201394.8879</v>
      </c>
    </row>
    <row r="39" spans="1:34" x14ac:dyDescent="0.25">
      <c r="A39" s="31" t="s">
        <v>228</v>
      </c>
    </row>
    <row r="40" spans="1:34" x14ac:dyDescent="0.25">
      <c r="A40" s="1" t="s">
        <v>0</v>
      </c>
      <c r="B40" s="89" t="s">
        <v>1</v>
      </c>
      <c r="C40" s="89" t="s">
        <v>290</v>
      </c>
      <c r="D40" s="89" t="s">
        <v>3</v>
      </c>
      <c r="E40" s="89" t="s">
        <v>4</v>
      </c>
      <c r="F40" s="89" t="s">
        <v>5</v>
      </c>
      <c r="G40" s="89" t="s">
        <v>291</v>
      </c>
      <c r="H40" s="89" t="s">
        <v>292</v>
      </c>
      <c r="I40" s="89" t="s">
        <v>8</v>
      </c>
      <c r="J40" s="89" t="s">
        <v>7</v>
      </c>
      <c r="K40" s="89" t="s">
        <v>9</v>
      </c>
      <c r="L40" s="89" t="s">
        <v>288</v>
      </c>
      <c r="M40" s="89" t="s">
        <v>11</v>
      </c>
      <c r="N40" s="89" t="s">
        <v>12</v>
      </c>
      <c r="O40" s="89" t="s">
        <v>13</v>
      </c>
      <c r="P40" s="89" t="s">
        <v>14</v>
      </c>
      <c r="Q40" s="89" t="s">
        <v>15</v>
      </c>
      <c r="R40" s="89" t="s">
        <v>16</v>
      </c>
      <c r="S40" s="89" t="s">
        <v>293</v>
      </c>
      <c r="T40" s="92" t="s">
        <v>17</v>
      </c>
      <c r="U40" s="92" t="s">
        <v>294</v>
      </c>
      <c r="V40" s="92" t="s">
        <v>313</v>
      </c>
      <c r="W40" s="89" t="s">
        <v>289</v>
      </c>
      <c r="X40" s="89" t="s">
        <v>295</v>
      </c>
      <c r="Y40" s="89" t="s">
        <v>20</v>
      </c>
      <c r="Z40" s="89" t="s">
        <v>21</v>
      </c>
      <c r="AA40" s="89" t="s">
        <v>22</v>
      </c>
      <c r="AB40" s="89" t="s">
        <v>23</v>
      </c>
      <c r="AC40" s="89" t="s">
        <v>24</v>
      </c>
      <c r="AD40" s="88" t="s">
        <v>296</v>
      </c>
      <c r="AE40" s="88" t="s">
        <v>297</v>
      </c>
      <c r="AF40" s="88" t="s">
        <v>25</v>
      </c>
      <c r="AG40" s="89" t="s">
        <v>26</v>
      </c>
      <c r="AH40" s="85" t="s">
        <v>27</v>
      </c>
    </row>
    <row r="41" spans="1:34" x14ac:dyDescent="0.25">
      <c r="A41" s="10" t="s">
        <v>278</v>
      </c>
      <c r="B41" s="10">
        <v>791217</v>
      </c>
      <c r="C41" s="10">
        <v>3337561</v>
      </c>
      <c r="D41" s="10"/>
      <c r="E41" s="10">
        <v>5505666</v>
      </c>
      <c r="F41" s="10"/>
      <c r="G41" s="10">
        <v>6928251</v>
      </c>
      <c r="H41" s="10">
        <v>902774</v>
      </c>
      <c r="I41" s="10"/>
      <c r="J41" s="10">
        <v>199268</v>
      </c>
      <c r="K41" s="10">
        <v>1154317</v>
      </c>
      <c r="L41" s="10">
        <v>1735237</v>
      </c>
      <c r="M41" s="10">
        <v>8636148</v>
      </c>
      <c r="N41" s="10">
        <v>9000093</v>
      </c>
      <c r="O41" s="10">
        <v>5358227</v>
      </c>
      <c r="P41" s="10">
        <v>480039</v>
      </c>
      <c r="Q41" s="10">
        <v>740195</v>
      </c>
      <c r="R41" s="10">
        <v>199177</v>
      </c>
      <c r="S41" s="10">
        <v>2077833</v>
      </c>
      <c r="T41" s="10">
        <v>13300192.20221875</v>
      </c>
      <c r="U41" s="10">
        <v>11556</v>
      </c>
      <c r="V41" s="10">
        <v>5631951</v>
      </c>
      <c r="W41" s="10">
        <v>15889</v>
      </c>
      <c r="X41" s="10">
        <v>4025107</v>
      </c>
      <c r="Y41" s="10">
        <v>970030</v>
      </c>
      <c r="Z41" s="10">
        <v>2421448</v>
      </c>
      <c r="AA41" s="10">
        <v>25771</v>
      </c>
      <c r="AB41" s="10"/>
      <c r="AC41" s="10">
        <v>2795718</v>
      </c>
      <c r="AD41" s="10">
        <v>43186957</v>
      </c>
      <c r="AE41" s="10">
        <v>14583015</v>
      </c>
      <c r="AF41" s="10">
        <v>15424558</v>
      </c>
      <c r="AG41" s="10">
        <v>988515</v>
      </c>
      <c r="AH41" s="11">
        <f>SUM(B41:AG41)</f>
        <v>150426710.20221874</v>
      </c>
    </row>
    <row r="42" spans="1:34" x14ac:dyDescent="0.25">
      <c r="A42" s="10" t="s">
        <v>281</v>
      </c>
      <c r="B42" s="10"/>
      <c r="C42" s="10"/>
      <c r="D42" s="10"/>
      <c r="E42" s="10"/>
      <c r="F42" s="10"/>
      <c r="G42" s="10">
        <v>146865</v>
      </c>
      <c r="H42" s="10"/>
      <c r="I42" s="10"/>
      <c r="J42" s="10">
        <v>12832</v>
      </c>
      <c r="K42" s="10"/>
      <c r="L42" s="10"/>
      <c r="M42" s="10"/>
      <c r="N42" s="10">
        <v>266742</v>
      </c>
      <c r="O42" s="10"/>
      <c r="P42" s="10"/>
      <c r="Q42" s="10"/>
      <c r="R42" s="10"/>
      <c r="S42" s="10"/>
      <c r="T42" s="10">
        <v>0</v>
      </c>
      <c r="U42" s="10"/>
      <c r="V42" s="10"/>
      <c r="W42" s="10"/>
      <c r="X42" s="10"/>
      <c r="Y42" s="10"/>
      <c r="Z42" s="10">
        <v>77732</v>
      </c>
      <c r="AA42" s="10"/>
      <c r="AB42" s="10"/>
      <c r="AC42" s="10"/>
      <c r="AD42" s="10">
        <v>204772</v>
      </c>
      <c r="AE42" s="10"/>
      <c r="AF42" s="10"/>
      <c r="AG42" s="10"/>
      <c r="AH42" s="11">
        <f>SUM(B42:AG42)</f>
        <v>708943</v>
      </c>
    </row>
    <row r="43" spans="1:34" x14ac:dyDescent="0.25">
      <c r="A43" s="10" t="s">
        <v>282</v>
      </c>
      <c r="B43" s="10">
        <v>40755</v>
      </c>
      <c r="C43" s="10">
        <v>-822821</v>
      </c>
      <c r="D43" s="10"/>
      <c r="E43" s="10">
        <v>479697</v>
      </c>
      <c r="F43" s="10"/>
      <c r="G43" s="10">
        <v>1571067</v>
      </c>
      <c r="H43" s="10">
        <v>151613</v>
      </c>
      <c r="I43" s="10"/>
      <c r="J43" s="10">
        <v>24130</v>
      </c>
      <c r="K43" s="10">
        <v>236090</v>
      </c>
      <c r="L43" s="10">
        <v>97946</v>
      </c>
      <c r="M43" s="10">
        <v>-2822718</v>
      </c>
      <c r="N43" s="10">
        <v>1384262</v>
      </c>
      <c r="O43" s="10">
        <v>748639</v>
      </c>
      <c r="P43" s="10">
        <v>58479</v>
      </c>
      <c r="Q43" s="10">
        <v>41151</v>
      </c>
      <c r="R43" s="10">
        <v>-15786</v>
      </c>
      <c r="S43" s="10">
        <v>106868</v>
      </c>
      <c r="T43" s="10">
        <v>1256996.0224582499</v>
      </c>
      <c r="U43" s="10">
        <v>85</v>
      </c>
      <c r="V43" s="10">
        <v>1367900</v>
      </c>
      <c r="W43" s="10">
        <v>794</v>
      </c>
      <c r="X43" s="10">
        <v>581049</v>
      </c>
      <c r="Y43" s="10">
        <v>-147287</v>
      </c>
      <c r="Z43" s="10">
        <v>121072</v>
      </c>
      <c r="AA43" s="10">
        <v>1721</v>
      </c>
      <c r="AB43" s="10"/>
      <c r="AC43" s="10">
        <v>323163</v>
      </c>
      <c r="AD43" s="10">
        <v>5192476</v>
      </c>
      <c r="AE43" s="10">
        <v>721996</v>
      </c>
      <c r="AF43" s="10">
        <v>771209</v>
      </c>
      <c r="AG43" s="10">
        <v>50061</v>
      </c>
      <c r="AH43" s="11">
        <f>SUM(B43:AG43)</f>
        <v>11520607.02245825</v>
      </c>
    </row>
    <row r="44" spans="1:34" x14ac:dyDescent="0.25">
      <c r="A44" s="10" t="s">
        <v>236</v>
      </c>
      <c r="B44" s="10">
        <v>750462</v>
      </c>
      <c r="C44" s="10">
        <v>2514740</v>
      </c>
      <c r="D44" s="10"/>
      <c r="E44" s="10">
        <v>5025969</v>
      </c>
      <c r="F44" s="10"/>
      <c r="G44" s="10">
        <v>5504049</v>
      </c>
      <c r="H44" s="10">
        <v>751161</v>
      </c>
      <c r="I44" s="10"/>
      <c r="J44" s="10">
        <v>187970</v>
      </c>
      <c r="K44" s="10">
        <v>918227</v>
      </c>
      <c r="L44" s="10">
        <v>1637291</v>
      </c>
      <c r="M44" s="10">
        <v>5813430</v>
      </c>
      <c r="N44" s="10">
        <v>7882573</v>
      </c>
      <c r="O44" s="10">
        <v>4609588</v>
      </c>
      <c r="P44" s="10">
        <v>421560</v>
      </c>
      <c r="Q44" s="10">
        <v>699045</v>
      </c>
      <c r="R44" s="10">
        <v>183391</v>
      </c>
      <c r="S44" s="10">
        <v>1970965</v>
      </c>
      <c r="T44" s="10">
        <v>12043196.179760501</v>
      </c>
      <c r="U44" s="10">
        <v>11641</v>
      </c>
      <c r="V44" s="10">
        <v>4264051</v>
      </c>
      <c r="W44" s="10">
        <v>15095</v>
      </c>
      <c r="X44" s="10">
        <v>3444058</v>
      </c>
      <c r="Y44" s="10">
        <v>822743</v>
      </c>
      <c r="Z44" s="10">
        <v>2378108</v>
      </c>
      <c r="AA44" s="10">
        <v>24050</v>
      </c>
      <c r="AB44" s="10"/>
      <c r="AC44" s="10">
        <v>2472555</v>
      </c>
      <c r="AD44" s="10">
        <v>38199253</v>
      </c>
      <c r="AE44" s="10">
        <v>13861019</v>
      </c>
      <c r="AF44" s="10">
        <v>14653349</v>
      </c>
      <c r="AG44" s="10">
        <v>938454</v>
      </c>
      <c r="AH44" s="11">
        <f>SUM(B44:AG44)</f>
        <v>131997993.1797605</v>
      </c>
    </row>
    <row r="45" spans="1:34" ht="30" customHeight="1" x14ac:dyDescent="0.25">
      <c r="A45" s="90" t="s">
        <v>307</v>
      </c>
      <c r="B45" s="10">
        <v>330432</v>
      </c>
      <c r="C45" s="10">
        <v>-292172</v>
      </c>
      <c r="D45" s="10"/>
      <c r="E45" s="10">
        <v>-626764</v>
      </c>
      <c r="F45" s="10"/>
      <c r="G45" s="10">
        <v>200321</v>
      </c>
      <c r="H45" s="10">
        <v>-89475</v>
      </c>
      <c r="I45" s="10"/>
      <c r="J45" s="10">
        <v>-28680</v>
      </c>
      <c r="K45" s="10">
        <v>124670</v>
      </c>
      <c r="L45" s="10">
        <v>1132778</v>
      </c>
      <c r="M45" s="10">
        <f>-15914181+16533276</f>
        <v>619095</v>
      </c>
      <c r="N45" s="10">
        <v>1885433</v>
      </c>
      <c r="O45" s="10">
        <v>968749</v>
      </c>
      <c r="P45" s="10">
        <v>7895</v>
      </c>
      <c r="Q45" s="10">
        <v>204755</v>
      </c>
      <c r="R45" s="10">
        <v>5120</v>
      </c>
      <c r="S45" s="10">
        <v>311487</v>
      </c>
      <c r="T45" s="10">
        <v>1360356.2326300002</v>
      </c>
      <c r="U45" s="10">
        <v>-41513</v>
      </c>
      <c r="V45" s="10">
        <v>-332649</v>
      </c>
      <c r="W45" s="10">
        <v>-51404</v>
      </c>
      <c r="X45" s="10">
        <v>157810</v>
      </c>
      <c r="Y45" s="10">
        <v>-113884</v>
      </c>
      <c r="Z45" s="10">
        <v>220618</v>
      </c>
      <c r="AA45" s="10">
        <v>10218</v>
      </c>
      <c r="AB45" s="10"/>
      <c r="AC45" s="10">
        <v>-81982</v>
      </c>
      <c r="AD45" s="10">
        <v>11345718</v>
      </c>
      <c r="AE45" s="10">
        <v>1807624</v>
      </c>
      <c r="AF45" s="10">
        <v>109723</v>
      </c>
      <c r="AG45" s="10">
        <v>-343774</v>
      </c>
      <c r="AH45" s="11"/>
    </row>
    <row r="46" spans="1:34" x14ac:dyDescent="0.25">
      <c r="A46" s="10" t="s">
        <v>237</v>
      </c>
      <c r="B46" s="10">
        <v>420030</v>
      </c>
      <c r="C46" s="10">
        <v>2222568</v>
      </c>
      <c r="D46" s="10"/>
      <c r="E46" s="10">
        <v>4418982</v>
      </c>
      <c r="F46" s="10"/>
      <c r="G46" s="10">
        <v>4361428</v>
      </c>
      <c r="H46" s="10">
        <v>840636</v>
      </c>
      <c r="I46" s="10"/>
      <c r="J46" s="10">
        <v>216650</v>
      </c>
      <c r="K46" s="10">
        <v>793558</v>
      </c>
      <c r="L46" s="10">
        <v>504513</v>
      </c>
      <c r="M46" s="10">
        <v>6432525</v>
      </c>
      <c r="N46" s="10">
        <v>5997140</v>
      </c>
      <c r="O46" s="10">
        <v>3640839</v>
      </c>
      <c r="P46" s="10">
        <v>413665</v>
      </c>
      <c r="Q46" s="10">
        <v>494290</v>
      </c>
      <c r="R46" s="10">
        <v>178271</v>
      </c>
      <c r="S46" s="10">
        <v>1659478</v>
      </c>
      <c r="T46" s="10">
        <v>10682839.947130501</v>
      </c>
      <c r="U46" s="10">
        <v>59357</v>
      </c>
      <c r="V46" s="10">
        <v>3280583</v>
      </c>
      <c r="W46" s="10">
        <v>66498</v>
      </c>
      <c r="X46" s="10">
        <v>1788805</v>
      </c>
      <c r="Y46" s="10">
        <v>708859</v>
      </c>
      <c r="Z46" s="10">
        <v>2598726</v>
      </c>
      <c r="AA46" s="10">
        <v>13831</v>
      </c>
      <c r="AB46" s="10"/>
      <c r="AC46" s="10">
        <v>2390573</v>
      </c>
      <c r="AD46" s="10">
        <v>26853535</v>
      </c>
      <c r="AE46" s="10">
        <v>12053395</v>
      </c>
      <c r="AF46" s="10">
        <v>14763072</v>
      </c>
      <c r="AG46" s="10">
        <v>594680</v>
      </c>
      <c r="AH46" s="11">
        <f>SUM(B46:AG46)</f>
        <v>108449326.9471305</v>
      </c>
    </row>
    <row r="48" spans="1:34" x14ac:dyDescent="0.25">
      <c r="A48" s="31" t="s">
        <v>229</v>
      </c>
    </row>
    <row r="49" spans="1:34" x14ac:dyDescent="0.25">
      <c r="A49" s="1" t="s">
        <v>0</v>
      </c>
      <c r="B49" s="89" t="s">
        <v>1</v>
      </c>
      <c r="C49" s="89" t="s">
        <v>290</v>
      </c>
      <c r="D49" s="89" t="s">
        <v>3</v>
      </c>
      <c r="E49" s="89" t="s">
        <v>4</v>
      </c>
      <c r="F49" s="89" t="s">
        <v>5</v>
      </c>
      <c r="G49" s="89" t="s">
        <v>291</v>
      </c>
      <c r="H49" s="89" t="s">
        <v>292</v>
      </c>
      <c r="I49" s="89" t="s">
        <v>8</v>
      </c>
      <c r="J49" s="89" t="s">
        <v>7</v>
      </c>
      <c r="K49" s="89" t="s">
        <v>9</v>
      </c>
      <c r="L49" s="89" t="s">
        <v>288</v>
      </c>
      <c r="M49" s="89" t="s">
        <v>11</v>
      </c>
      <c r="N49" s="89" t="s">
        <v>12</v>
      </c>
      <c r="O49" s="89" t="s">
        <v>13</v>
      </c>
      <c r="P49" s="89" t="s">
        <v>14</v>
      </c>
      <c r="Q49" s="89" t="s">
        <v>15</v>
      </c>
      <c r="R49" s="89" t="s">
        <v>16</v>
      </c>
      <c r="S49" s="89" t="s">
        <v>293</v>
      </c>
      <c r="T49" s="92" t="s">
        <v>17</v>
      </c>
      <c r="U49" s="92" t="s">
        <v>294</v>
      </c>
      <c r="V49" s="92" t="s">
        <v>313</v>
      </c>
      <c r="W49" s="89" t="s">
        <v>289</v>
      </c>
      <c r="X49" s="89" t="s">
        <v>295</v>
      </c>
      <c r="Y49" s="89" t="s">
        <v>20</v>
      </c>
      <c r="Z49" s="89" t="s">
        <v>21</v>
      </c>
      <c r="AA49" s="89" t="s">
        <v>22</v>
      </c>
      <c r="AB49" s="89" t="s">
        <v>23</v>
      </c>
      <c r="AC49" s="89" t="s">
        <v>24</v>
      </c>
      <c r="AD49" s="88" t="s">
        <v>296</v>
      </c>
      <c r="AE49" s="88" t="s">
        <v>297</v>
      </c>
      <c r="AF49" s="88" t="s">
        <v>25</v>
      </c>
      <c r="AG49" s="89" t="s">
        <v>26</v>
      </c>
      <c r="AH49" s="85" t="s">
        <v>27</v>
      </c>
    </row>
    <row r="50" spans="1:34" x14ac:dyDescent="0.25">
      <c r="A50" s="10" t="s">
        <v>278</v>
      </c>
      <c r="B50" s="10">
        <v>18946</v>
      </c>
      <c r="C50" s="10">
        <v>337593</v>
      </c>
      <c r="D50" s="10"/>
      <c r="E50" s="10">
        <v>471672</v>
      </c>
      <c r="F50" s="10"/>
      <c r="G50" s="10">
        <v>507246</v>
      </c>
      <c r="H50" s="10">
        <v>452159</v>
      </c>
      <c r="I50" s="10"/>
      <c r="J50" s="10">
        <v>25310</v>
      </c>
      <c r="K50" s="10">
        <v>169980</v>
      </c>
      <c r="L50" s="10">
        <v>70064</v>
      </c>
      <c r="M50" s="10">
        <v>1411818</v>
      </c>
      <c r="N50" s="10">
        <v>873281</v>
      </c>
      <c r="O50" s="10">
        <v>291073</v>
      </c>
      <c r="P50" s="10">
        <v>61219</v>
      </c>
      <c r="Q50" s="10">
        <v>64764</v>
      </c>
      <c r="R50" s="10">
        <v>15859</v>
      </c>
      <c r="S50" s="10">
        <v>33973</v>
      </c>
      <c r="T50" s="10">
        <v>1044302.794</v>
      </c>
      <c r="U50" s="10">
        <v>1723</v>
      </c>
      <c r="V50" s="10">
        <v>215839</v>
      </c>
      <c r="W50" s="10">
        <v>767</v>
      </c>
      <c r="X50" s="10">
        <v>247527</v>
      </c>
      <c r="Y50" s="10">
        <v>131630</v>
      </c>
      <c r="Z50" s="10">
        <v>993684</v>
      </c>
      <c r="AA50" s="10">
        <v>35995</v>
      </c>
      <c r="AB50" s="10"/>
      <c r="AC50" s="10">
        <v>355417</v>
      </c>
      <c r="AD50" s="10">
        <v>5785517</v>
      </c>
      <c r="AE50" s="10">
        <v>717214</v>
      </c>
      <c r="AF50" s="10">
        <v>843451</v>
      </c>
      <c r="AG50" s="10">
        <v>849469</v>
      </c>
      <c r="AH50" s="11">
        <f>SUM(B50:AG50)</f>
        <v>16027492.794</v>
      </c>
    </row>
    <row r="51" spans="1:34" x14ac:dyDescent="0.25">
      <c r="A51" s="10" t="s">
        <v>281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>
        <v>0</v>
      </c>
      <c r="U51" s="10"/>
      <c r="V51" s="10"/>
      <c r="W51" s="10"/>
      <c r="X51" s="10"/>
      <c r="Y51" s="10">
        <v>104175</v>
      </c>
      <c r="Z51" s="10"/>
      <c r="AA51" s="10"/>
      <c r="AB51" s="10"/>
      <c r="AC51" s="10"/>
      <c r="AD51" s="10">
        <v>10122</v>
      </c>
      <c r="AE51" s="10">
        <v>58</v>
      </c>
      <c r="AF51" s="10">
        <v>0</v>
      </c>
      <c r="AG51" s="10"/>
      <c r="AH51" s="11">
        <f>SUM(B51:AG51)</f>
        <v>114355</v>
      </c>
    </row>
    <row r="52" spans="1:34" x14ac:dyDescent="0.25">
      <c r="A52" s="10" t="s">
        <v>282</v>
      </c>
      <c r="B52" s="10">
        <v>1981</v>
      </c>
      <c r="C52" s="10">
        <v>-31239</v>
      </c>
      <c r="D52" s="10"/>
      <c r="E52" s="10">
        <v>31050</v>
      </c>
      <c r="F52" s="10"/>
      <c r="G52" s="10">
        <v>44346</v>
      </c>
      <c r="H52" s="10">
        <v>143017</v>
      </c>
      <c r="I52" s="10"/>
      <c r="J52" s="10">
        <v>2163</v>
      </c>
      <c r="K52" s="10">
        <v>17063</v>
      </c>
      <c r="L52" s="10">
        <v>3560</v>
      </c>
      <c r="M52" s="10">
        <v>-503145</v>
      </c>
      <c r="N52" s="10">
        <v>170302</v>
      </c>
      <c r="O52" s="10">
        <v>26210</v>
      </c>
      <c r="P52" s="10">
        <v>12153</v>
      </c>
      <c r="Q52" s="10">
        <v>6957</v>
      </c>
      <c r="R52" s="10">
        <v>-4779</v>
      </c>
      <c r="S52" s="10">
        <v>4766</v>
      </c>
      <c r="T52" s="10">
        <v>59739.873530000004</v>
      </c>
      <c r="U52" s="10">
        <v>-1653</v>
      </c>
      <c r="V52" s="10">
        <v>22851</v>
      </c>
      <c r="W52" s="10">
        <v>624</v>
      </c>
      <c r="X52" s="10">
        <v>73241</v>
      </c>
      <c r="Y52" s="10">
        <v>-89462</v>
      </c>
      <c r="Z52" s="10">
        <v>177628</v>
      </c>
      <c r="AA52" s="10">
        <v>14498</v>
      </c>
      <c r="AB52" s="10"/>
      <c r="AC52" s="10">
        <v>24382</v>
      </c>
      <c r="AD52" s="10">
        <v>263323</v>
      </c>
      <c r="AE52" s="10">
        <v>88877</v>
      </c>
      <c r="AF52" s="10">
        <v>517691</v>
      </c>
      <c r="AG52" s="10">
        <v>558851</v>
      </c>
      <c r="AH52" s="11">
        <f>SUM(B52:AG52)</f>
        <v>1634995.87353</v>
      </c>
    </row>
    <row r="53" spans="1:34" x14ac:dyDescent="0.25">
      <c r="A53" s="10" t="s">
        <v>236</v>
      </c>
      <c r="B53" s="10">
        <v>16965</v>
      </c>
      <c r="C53" s="10">
        <v>306354</v>
      </c>
      <c r="D53" s="10"/>
      <c r="E53" s="10">
        <v>440622</v>
      </c>
      <c r="F53" s="10"/>
      <c r="G53" s="10">
        <v>462900</v>
      </c>
      <c r="H53" s="10">
        <v>309142</v>
      </c>
      <c r="I53" s="10"/>
      <c r="J53" s="10">
        <v>23147</v>
      </c>
      <c r="K53" s="10">
        <v>152917</v>
      </c>
      <c r="L53" s="10">
        <v>66504</v>
      </c>
      <c r="M53" s="10">
        <v>908673</v>
      </c>
      <c r="N53" s="10">
        <v>702979</v>
      </c>
      <c r="O53" s="10">
        <v>264863</v>
      </c>
      <c r="P53" s="10">
        <v>49066</v>
      </c>
      <c r="Q53" s="10">
        <v>57807</v>
      </c>
      <c r="R53" s="10">
        <v>11080</v>
      </c>
      <c r="S53" s="10">
        <v>29207</v>
      </c>
      <c r="T53" s="10">
        <v>984562.92047000001</v>
      </c>
      <c r="U53" s="10">
        <v>70</v>
      </c>
      <c r="V53" s="10">
        <v>192988</v>
      </c>
      <c r="W53" s="10">
        <v>143</v>
      </c>
      <c r="X53" s="10">
        <v>174286</v>
      </c>
      <c r="Y53" s="10">
        <v>146343</v>
      </c>
      <c r="Z53" s="10">
        <v>816056</v>
      </c>
      <c r="AA53" s="10">
        <v>21497</v>
      </c>
      <c r="AB53" s="10"/>
      <c r="AC53" s="10">
        <v>331035</v>
      </c>
      <c r="AD53" s="10">
        <v>5532316</v>
      </c>
      <c r="AE53" s="10">
        <v>628395</v>
      </c>
      <c r="AF53" s="10">
        <v>325760</v>
      </c>
      <c r="AG53" s="10">
        <v>290618</v>
      </c>
      <c r="AH53" s="11">
        <f>SUM(B53:AG53)</f>
        <v>13246295.920469999</v>
      </c>
    </row>
    <row r="54" spans="1:34" ht="30" customHeight="1" x14ac:dyDescent="0.25">
      <c r="A54" s="90" t="s">
        <v>307</v>
      </c>
      <c r="B54" s="10">
        <v>8554</v>
      </c>
      <c r="C54" s="10">
        <v>-148399</v>
      </c>
      <c r="D54" s="10"/>
      <c r="E54" s="10">
        <v>-7972</v>
      </c>
      <c r="F54" s="10"/>
      <c r="G54" s="10">
        <v>22343</v>
      </c>
      <c r="H54" s="10">
        <v>-163010</v>
      </c>
      <c r="I54" s="10"/>
      <c r="J54" s="10">
        <v>17278</v>
      </c>
      <c r="K54" s="10">
        <v>-22018</v>
      </c>
      <c r="L54" s="10">
        <v>11694</v>
      </c>
      <c r="M54" s="10">
        <f>-6158149+6371743</f>
        <v>213594</v>
      </c>
      <c r="N54" s="10">
        <v>-300349</v>
      </c>
      <c r="O54" s="10">
        <v>53746</v>
      </c>
      <c r="P54" s="10">
        <v>20038</v>
      </c>
      <c r="Q54" s="10">
        <v>4944</v>
      </c>
      <c r="R54" s="10">
        <v>3260</v>
      </c>
      <c r="S54" s="10">
        <v>8330</v>
      </c>
      <c r="T54" s="10">
        <v>298522.712</v>
      </c>
      <c r="U54" s="10">
        <v>-11365</v>
      </c>
      <c r="V54" s="10">
        <v>-18149</v>
      </c>
      <c r="W54" s="10">
        <v>-4753</v>
      </c>
      <c r="X54" s="10">
        <v>41323</v>
      </c>
      <c r="Y54" s="10">
        <v>-36025</v>
      </c>
      <c r="Z54" s="10">
        <v>1158255</v>
      </c>
      <c r="AA54" s="10">
        <v>5432</v>
      </c>
      <c r="AB54" s="10"/>
      <c r="AC54" s="10">
        <v>22230</v>
      </c>
      <c r="AD54" s="10">
        <v>1380130</v>
      </c>
      <c r="AE54" s="10">
        <v>81791</v>
      </c>
      <c r="AF54" s="10">
        <v>-29848</v>
      </c>
      <c r="AG54" s="10">
        <v>-165081</v>
      </c>
      <c r="AH54" s="11"/>
    </row>
    <row r="55" spans="1:34" x14ac:dyDescent="0.25">
      <c r="A55" s="10" t="s">
        <v>237</v>
      </c>
      <c r="B55" s="10">
        <v>8411</v>
      </c>
      <c r="C55" s="10">
        <v>157955</v>
      </c>
      <c r="D55" s="10"/>
      <c r="E55" s="10">
        <v>527977</v>
      </c>
      <c r="F55" s="10"/>
      <c r="G55" s="10">
        <v>335361</v>
      </c>
      <c r="H55" s="10">
        <v>472152</v>
      </c>
      <c r="I55" s="10"/>
      <c r="J55" s="10">
        <v>5869</v>
      </c>
      <c r="K55" s="10">
        <v>174935</v>
      </c>
      <c r="L55" s="10">
        <v>54810</v>
      </c>
      <c r="M55" s="10">
        <v>1122267</v>
      </c>
      <c r="N55" s="10">
        <v>1003328</v>
      </c>
      <c r="O55" s="10">
        <v>211117</v>
      </c>
      <c r="P55" s="10">
        <v>29028</v>
      </c>
      <c r="Q55" s="10">
        <v>52863</v>
      </c>
      <c r="R55" s="10">
        <v>7820</v>
      </c>
      <c r="S55" s="10">
        <v>20877</v>
      </c>
      <c r="T55" s="10">
        <v>686040.20846999995</v>
      </c>
      <c r="U55" s="10">
        <v>9335</v>
      </c>
      <c r="V55" s="10">
        <v>134250</v>
      </c>
      <c r="W55" s="10">
        <v>4897</v>
      </c>
      <c r="X55" s="10">
        <v>105537</v>
      </c>
      <c r="Y55" s="10">
        <v>110318</v>
      </c>
      <c r="Z55" s="10">
        <v>1974311</v>
      </c>
      <c r="AA55" s="10">
        <v>16064</v>
      </c>
      <c r="AB55" s="10"/>
      <c r="AC55" s="10">
        <v>353265</v>
      </c>
      <c r="AD55" s="10">
        <v>4152186</v>
      </c>
      <c r="AE55" s="10">
        <v>546604</v>
      </c>
      <c r="AF55" s="10">
        <v>295912</v>
      </c>
      <c r="AG55" s="10">
        <v>125537</v>
      </c>
      <c r="AH55" s="11">
        <f>SUM(B55:AG55)</f>
        <v>12699026.20847</v>
      </c>
    </row>
    <row r="57" spans="1:34" x14ac:dyDescent="0.25">
      <c r="A57" s="31" t="s">
        <v>306</v>
      </c>
    </row>
    <row r="58" spans="1:34" x14ac:dyDescent="0.25">
      <c r="A58" s="1" t="s">
        <v>0</v>
      </c>
      <c r="B58" s="89" t="s">
        <v>1</v>
      </c>
      <c r="C58" s="89" t="s">
        <v>290</v>
      </c>
      <c r="D58" s="89" t="s">
        <v>3</v>
      </c>
      <c r="E58" s="89" t="s">
        <v>4</v>
      </c>
      <c r="F58" s="89" t="s">
        <v>5</v>
      </c>
      <c r="G58" s="89" t="s">
        <v>291</v>
      </c>
      <c r="H58" s="89" t="s">
        <v>292</v>
      </c>
      <c r="I58" s="89" t="s">
        <v>8</v>
      </c>
      <c r="J58" s="89" t="s">
        <v>7</v>
      </c>
      <c r="K58" s="89" t="s">
        <v>9</v>
      </c>
      <c r="L58" s="89" t="s">
        <v>288</v>
      </c>
      <c r="M58" s="89" t="s">
        <v>11</v>
      </c>
      <c r="N58" s="89" t="s">
        <v>12</v>
      </c>
      <c r="O58" s="89" t="s">
        <v>13</v>
      </c>
      <c r="P58" s="89" t="s">
        <v>14</v>
      </c>
      <c r="Q58" s="89" t="s">
        <v>15</v>
      </c>
      <c r="R58" s="89" t="s">
        <v>16</v>
      </c>
      <c r="S58" s="89" t="s">
        <v>293</v>
      </c>
      <c r="T58" s="92" t="s">
        <v>17</v>
      </c>
      <c r="U58" s="92" t="s">
        <v>294</v>
      </c>
      <c r="V58" s="92" t="s">
        <v>313</v>
      </c>
      <c r="W58" s="89" t="s">
        <v>289</v>
      </c>
      <c r="X58" s="89" t="s">
        <v>295</v>
      </c>
      <c r="Y58" s="89" t="s">
        <v>20</v>
      </c>
      <c r="Z58" s="89" t="s">
        <v>21</v>
      </c>
      <c r="AA58" s="89" t="s">
        <v>22</v>
      </c>
      <c r="AB58" s="89" t="s">
        <v>23</v>
      </c>
      <c r="AC58" s="89" t="s">
        <v>24</v>
      </c>
      <c r="AD58" s="88" t="s">
        <v>296</v>
      </c>
      <c r="AE58" s="88" t="s">
        <v>297</v>
      </c>
      <c r="AF58" s="88" t="s">
        <v>25</v>
      </c>
      <c r="AG58" s="89" t="s">
        <v>26</v>
      </c>
      <c r="AH58" s="85" t="s">
        <v>27</v>
      </c>
    </row>
    <row r="59" spans="1:34" x14ac:dyDescent="0.25">
      <c r="A59" s="10" t="s">
        <v>278</v>
      </c>
      <c r="B59" s="10"/>
      <c r="C59" s="10"/>
      <c r="D59" s="10"/>
      <c r="E59" s="10">
        <v>-271354</v>
      </c>
      <c r="F59" s="10"/>
      <c r="G59" s="10"/>
      <c r="H59" s="10"/>
      <c r="I59" s="10"/>
      <c r="J59" s="10"/>
      <c r="K59" s="10">
        <v>124127</v>
      </c>
      <c r="L59" s="10"/>
      <c r="M59" s="10">
        <v>455317</v>
      </c>
      <c r="N59" s="10">
        <v>376</v>
      </c>
      <c r="O59" s="10"/>
      <c r="P59" s="10"/>
      <c r="Q59" s="10"/>
      <c r="R59" s="10"/>
      <c r="S59" s="10"/>
      <c r="T59" s="10">
        <v>77745.258000000002</v>
      </c>
      <c r="U59" s="10"/>
      <c r="V59" s="10"/>
      <c r="W59" s="10"/>
      <c r="X59" s="10">
        <v>4314776</v>
      </c>
      <c r="Y59" s="10"/>
      <c r="Z59" s="10">
        <v>270249</v>
      </c>
      <c r="AA59" s="10"/>
      <c r="AB59" s="10"/>
      <c r="AC59" s="10"/>
      <c r="AD59" s="10">
        <v>68895</v>
      </c>
      <c r="AE59" s="10"/>
      <c r="AF59" s="10">
        <v>-82433</v>
      </c>
      <c r="AG59" s="10">
        <v>186414</v>
      </c>
      <c r="AH59" s="11">
        <f>SUM(B59:AG59)</f>
        <v>5144112.2580000004</v>
      </c>
    </row>
    <row r="60" spans="1:34" x14ac:dyDescent="0.25">
      <c r="A60" s="10" t="s">
        <v>281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>
        <v>2998</v>
      </c>
      <c r="M60" s="10"/>
      <c r="N60" s="10"/>
      <c r="O60" s="10"/>
      <c r="P60" s="10"/>
      <c r="Q60" s="10"/>
      <c r="R60" s="10"/>
      <c r="S60" s="10"/>
      <c r="T60" s="10">
        <v>0</v>
      </c>
      <c r="U60" s="10"/>
      <c r="V60" s="10"/>
      <c r="W60" s="10"/>
      <c r="X60" s="10"/>
      <c r="Y60" s="10"/>
      <c r="Z60" s="10"/>
      <c r="AA60" s="10"/>
      <c r="AB60" s="10"/>
      <c r="AC60" s="10"/>
      <c r="AD60" s="10">
        <v>0</v>
      </c>
      <c r="AE60" s="10"/>
      <c r="AF60" s="10"/>
      <c r="AG60" s="10"/>
      <c r="AH60" s="11">
        <f>SUM(B60:AG60)</f>
        <v>2998</v>
      </c>
    </row>
    <row r="61" spans="1:34" x14ac:dyDescent="0.25">
      <c r="A61" s="10" t="s">
        <v>282</v>
      </c>
      <c r="B61" s="10"/>
      <c r="C61" s="10"/>
      <c r="D61" s="10"/>
      <c r="E61" s="10">
        <v>-220750</v>
      </c>
      <c r="F61" s="10"/>
      <c r="G61" s="10"/>
      <c r="H61" s="10"/>
      <c r="I61" s="10"/>
      <c r="J61" s="10"/>
      <c r="K61" s="10">
        <v>99119</v>
      </c>
      <c r="L61" s="10">
        <v>873</v>
      </c>
      <c r="M61" s="10">
        <v>-482848</v>
      </c>
      <c r="N61" s="10">
        <v>241</v>
      </c>
      <c r="O61" s="10">
        <v>7616</v>
      </c>
      <c r="P61" s="10"/>
      <c r="Q61" s="10"/>
      <c r="R61" s="10"/>
      <c r="S61" s="10"/>
      <c r="T61" s="10">
        <v>4432.0730000000003</v>
      </c>
      <c r="U61" s="10"/>
      <c r="V61" s="10"/>
      <c r="W61" s="10"/>
      <c r="X61" s="10">
        <v>3370056</v>
      </c>
      <c r="Y61" s="10"/>
      <c r="Z61" s="10">
        <v>217832</v>
      </c>
      <c r="AA61" s="10"/>
      <c r="AB61" s="10"/>
      <c r="AC61" s="10"/>
      <c r="AD61" s="10">
        <v>3385</v>
      </c>
      <c r="AE61" s="10"/>
      <c r="AF61" s="10">
        <v>-69267</v>
      </c>
      <c r="AG61" s="10">
        <v>216329</v>
      </c>
      <c r="AH61" s="11">
        <f>SUM(B61:AG61)</f>
        <v>3147018.0729999999</v>
      </c>
    </row>
    <row r="62" spans="1:34" x14ac:dyDescent="0.25">
      <c r="A62" s="10" t="s">
        <v>236</v>
      </c>
      <c r="B62" s="10"/>
      <c r="C62" s="10"/>
      <c r="D62" s="10"/>
      <c r="E62" s="10">
        <v>-50604</v>
      </c>
      <c r="F62" s="10"/>
      <c r="G62" s="10"/>
      <c r="H62" s="10"/>
      <c r="I62" s="10"/>
      <c r="J62" s="10"/>
      <c r="K62" s="10">
        <v>25008</v>
      </c>
      <c r="L62" s="10">
        <v>2125</v>
      </c>
      <c r="M62" s="10">
        <v>-27531</v>
      </c>
      <c r="N62" s="10">
        <v>135</v>
      </c>
      <c r="O62" s="10">
        <v>-7616</v>
      </c>
      <c r="P62" s="10"/>
      <c r="Q62" s="10"/>
      <c r="R62" s="10"/>
      <c r="S62" s="10"/>
      <c r="T62" s="10">
        <v>73313.184999999998</v>
      </c>
      <c r="U62" s="10"/>
      <c r="V62" s="10"/>
      <c r="W62" s="10"/>
      <c r="X62" s="10">
        <v>944720</v>
      </c>
      <c r="Y62" s="10"/>
      <c r="Z62" s="10">
        <v>52417</v>
      </c>
      <c r="AA62" s="10"/>
      <c r="AB62" s="10"/>
      <c r="AC62" s="10"/>
      <c r="AD62" s="10">
        <v>65510</v>
      </c>
      <c r="AE62" s="10"/>
      <c r="AF62" s="10">
        <v>-13166</v>
      </c>
      <c r="AG62" s="10">
        <v>-29915</v>
      </c>
      <c r="AH62" s="11">
        <f>SUM(B62:AG62)</f>
        <v>1034396.1850000001</v>
      </c>
    </row>
    <row r="63" spans="1:34" ht="30" customHeight="1" x14ac:dyDescent="0.25">
      <c r="A63" s="90" t="s">
        <v>307</v>
      </c>
      <c r="B63" s="10"/>
      <c r="C63" s="10"/>
      <c r="D63" s="10"/>
      <c r="E63" s="10">
        <v>-1182465</v>
      </c>
      <c r="F63" s="10"/>
      <c r="G63" s="10"/>
      <c r="H63" s="10"/>
      <c r="I63" s="10"/>
      <c r="J63" s="10"/>
      <c r="K63" s="10">
        <v>-98294</v>
      </c>
      <c r="L63" s="10"/>
      <c r="M63" s="10">
        <f>-26198+230385</f>
        <v>204187</v>
      </c>
      <c r="N63" s="10">
        <v>75</v>
      </c>
      <c r="O63" s="10">
        <v>-187610</v>
      </c>
      <c r="P63" s="10"/>
      <c r="Q63" s="10"/>
      <c r="R63" s="10"/>
      <c r="S63" s="10"/>
      <c r="T63" s="10">
        <v>-1832682.7007249999</v>
      </c>
      <c r="U63" s="10"/>
      <c r="V63" s="10"/>
      <c r="W63" s="10"/>
      <c r="X63" s="10">
        <v>68</v>
      </c>
      <c r="Y63" s="10"/>
      <c r="Z63" s="10">
        <v>343710</v>
      </c>
      <c r="AA63" s="10"/>
      <c r="AB63" s="10"/>
      <c r="AC63" s="10"/>
      <c r="AD63" s="10">
        <v>0</v>
      </c>
      <c r="AE63" s="10"/>
      <c r="AF63" s="10">
        <v>175304</v>
      </c>
      <c r="AG63" s="10">
        <v>141307</v>
      </c>
      <c r="AH63" s="11"/>
    </row>
    <row r="64" spans="1:34" x14ac:dyDescent="0.25">
      <c r="A64" s="10" t="s">
        <v>237</v>
      </c>
      <c r="B64" s="10"/>
      <c r="C64" s="10"/>
      <c r="D64" s="10"/>
      <c r="E64" s="10">
        <v>245262</v>
      </c>
      <c r="F64" s="10"/>
      <c r="G64" s="10"/>
      <c r="H64" s="10"/>
      <c r="I64" s="10"/>
      <c r="J64" s="10"/>
      <c r="K64" s="10">
        <v>123301</v>
      </c>
      <c r="L64" s="10">
        <v>2125</v>
      </c>
      <c r="M64" s="10">
        <v>176656</v>
      </c>
      <c r="N64" s="10">
        <v>60</v>
      </c>
      <c r="O64" s="10">
        <v>179994</v>
      </c>
      <c r="P64" s="10"/>
      <c r="Q64" s="10"/>
      <c r="R64" s="10"/>
      <c r="S64" s="10"/>
      <c r="T64" s="10">
        <v>1905995.8857249999</v>
      </c>
      <c r="U64" s="10"/>
      <c r="V64" s="10"/>
      <c r="W64" s="10"/>
      <c r="X64" s="10">
        <v>944701</v>
      </c>
      <c r="Y64" s="10"/>
      <c r="Z64" s="10">
        <v>396127</v>
      </c>
      <c r="AA64" s="10"/>
      <c r="AB64" s="10"/>
      <c r="AC64" s="10"/>
      <c r="AD64" s="10">
        <v>65510</v>
      </c>
      <c r="AE64" s="10"/>
      <c r="AF64" s="10">
        <v>162138</v>
      </c>
      <c r="AG64" s="10">
        <v>111392</v>
      </c>
      <c r="AH64" s="11">
        <f>SUM(B64:AG64)</f>
        <v>4313261.8857249999</v>
      </c>
    </row>
    <row r="66" spans="1:34" x14ac:dyDescent="0.25">
      <c r="A66" s="31" t="s">
        <v>230</v>
      </c>
    </row>
    <row r="67" spans="1:34" x14ac:dyDescent="0.25">
      <c r="A67" s="1" t="s">
        <v>0</v>
      </c>
      <c r="B67" s="89" t="s">
        <v>1</v>
      </c>
      <c r="C67" s="89" t="s">
        <v>290</v>
      </c>
      <c r="D67" s="89" t="s">
        <v>3</v>
      </c>
      <c r="E67" s="89" t="s">
        <v>4</v>
      </c>
      <c r="F67" s="89" t="s">
        <v>5</v>
      </c>
      <c r="G67" s="89" t="s">
        <v>291</v>
      </c>
      <c r="H67" s="89" t="s">
        <v>292</v>
      </c>
      <c r="I67" s="89" t="s">
        <v>8</v>
      </c>
      <c r="J67" s="89" t="s">
        <v>7</v>
      </c>
      <c r="K67" s="89" t="s">
        <v>9</v>
      </c>
      <c r="L67" s="89" t="s">
        <v>288</v>
      </c>
      <c r="M67" s="89" t="s">
        <v>11</v>
      </c>
      <c r="N67" s="89" t="s">
        <v>12</v>
      </c>
      <c r="O67" s="89" t="s">
        <v>13</v>
      </c>
      <c r="P67" s="89" t="s">
        <v>14</v>
      </c>
      <c r="Q67" s="89" t="s">
        <v>15</v>
      </c>
      <c r="R67" s="89" t="s">
        <v>16</v>
      </c>
      <c r="S67" s="89" t="s">
        <v>293</v>
      </c>
      <c r="T67" s="92" t="s">
        <v>17</v>
      </c>
      <c r="U67" s="92" t="s">
        <v>294</v>
      </c>
      <c r="V67" s="92" t="s">
        <v>313</v>
      </c>
      <c r="W67" s="89" t="s">
        <v>289</v>
      </c>
      <c r="X67" s="89" t="s">
        <v>295</v>
      </c>
      <c r="Y67" s="89" t="s">
        <v>20</v>
      </c>
      <c r="Z67" s="89" t="s">
        <v>21</v>
      </c>
      <c r="AA67" s="89" t="s">
        <v>22</v>
      </c>
      <c r="AB67" s="89" t="s">
        <v>23</v>
      </c>
      <c r="AC67" s="89" t="s">
        <v>24</v>
      </c>
      <c r="AD67" s="88" t="s">
        <v>296</v>
      </c>
      <c r="AE67" s="88" t="s">
        <v>297</v>
      </c>
      <c r="AF67" s="88" t="s">
        <v>25</v>
      </c>
      <c r="AG67" s="89" t="s">
        <v>26</v>
      </c>
      <c r="AH67" s="85" t="s">
        <v>27</v>
      </c>
    </row>
    <row r="68" spans="1:34" x14ac:dyDescent="0.25">
      <c r="A68" s="10" t="s">
        <v>278</v>
      </c>
      <c r="B68" s="10"/>
      <c r="C68" s="10"/>
      <c r="D68" s="10"/>
      <c r="E68" s="10">
        <v>66884</v>
      </c>
      <c r="F68" s="10"/>
      <c r="G68" s="10"/>
      <c r="H68" s="10"/>
      <c r="I68" s="10"/>
      <c r="J68" s="10"/>
      <c r="K68" s="10">
        <v>831</v>
      </c>
      <c r="L68" s="10"/>
      <c r="M68" s="10">
        <v>35173</v>
      </c>
      <c r="N68" s="10">
        <v>324626</v>
      </c>
      <c r="O68" s="10"/>
      <c r="P68" s="10"/>
      <c r="Q68" s="10"/>
      <c r="R68" s="10"/>
      <c r="S68" s="10"/>
      <c r="T68" s="10">
        <v>300328.51799999998</v>
      </c>
      <c r="U68" s="10"/>
      <c r="V68" s="10"/>
      <c r="W68" s="10"/>
      <c r="X68" s="10">
        <v>216444</v>
      </c>
      <c r="Y68" s="10"/>
      <c r="Z68" s="10">
        <v>249</v>
      </c>
      <c r="AA68" s="10"/>
      <c r="AB68" s="10"/>
      <c r="AC68" s="10"/>
      <c r="AD68" s="10">
        <v>988869</v>
      </c>
      <c r="AE68" s="10">
        <v>317210</v>
      </c>
      <c r="AF68" s="10">
        <v>262479</v>
      </c>
      <c r="AG68" s="10"/>
      <c r="AH68" s="11">
        <f>SUM(B68:AG68)</f>
        <v>2513093.5180000002</v>
      </c>
    </row>
    <row r="69" spans="1:34" x14ac:dyDescent="0.25">
      <c r="A69" s="10" t="s">
        <v>281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>
        <v>34831</v>
      </c>
      <c r="O69" s="10"/>
      <c r="P69" s="10"/>
      <c r="Q69" s="10"/>
      <c r="R69" s="10"/>
      <c r="S69" s="10"/>
      <c r="T69" s="10">
        <v>216977.796</v>
      </c>
      <c r="U69" s="10"/>
      <c r="V69" s="10"/>
      <c r="W69" s="10"/>
      <c r="X69" s="10"/>
      <c r="Y69" s="10"/>
      <c r="Z69" s="10"/>
      <c r="AA69" s="10"/>
      <c r="AB69" s="10"/>
      <c r="AC69" s="10"/>
      <c r="AD69" s="10">
        <v>231206</v>
      </c>
      <c r="AE69" s="10">
        <v>516462</v>
      </c>
      <c r="AF69" s="10">
        <v>59647</v>
      </c>
      <c r="AG69" s="10"/>
      <c r="AH69" s="11">
        <f>SUM(B69:AG69)</f>
        <v>1059123.7960000001</v>
      </c>
    </row>
    <row r="70" spans="1:34" x14ac:dyDescent="0.25">
      <c r="A70" s="10" t="s">
        <v>282</v>
      </c>
      <c r="B70" s="10"/>
      <c r="C70" s="10"/>
      <c r="D70" s="10"/>
      <c r="E70" s="10">
        <v>62189</v>
      </c>
      <c r="F70" s="10"/>
      <c r="G70" s="10"/>
      <c r="H70" s="10"/>
      <c r="I70" s="10"/>
      <c r="J70" s="10"/>
      <c r="K70" s="10">
        <v>42</v>
      </c>
      <c r="L70" s="10"/>
      <c r="M70" s="10">
        <v>-35166</v>
      </c>
      <c r="N70" s="10">
        <v>304065</v>
      </c>
      <c r="O70" s="10"/>
      <c r="P70" s="10"/>
      <c r="Q70" s="10"/>
      <c r="R70" s="10"/>
      <c r="S70" s="10"/>
      <c r="T70" s="10">
        <v>305648.85499999998</v>
      </c>
      <c r="U70" s="10"/>
      <c r="V70" s="10"/>
      <c r="W70" s="10"/>
      <c r="X70" s="10">
        <v>151015</v>
      </c>
      <c r="Y70" s="10"/>
      <c r="Z70" s="10">
        <v>247</v>
      </c>
      <c r="AA70" s="10"/>
      <c r="AB70" s="10"/>
      <c r="AC70" s="10"/>
      <c r="AD70" s="10">
        <v>836706</v>
      </c>
      <c r="AE70" s="10">
        <v>298292</v>
      </c>
      <c r="AF70" s="10">
        <v>250543</v>
      </c>
      <c r="AG70" s="10"/>
      <c r="AH70" s="11">
        <f>SUM(B70:AG70)</f>
        <v>2173581.855</v>
      </c>
    </row>
    <row r="71" spans="1:34" x14ac:dyDescent="0.25">
      <c r="A71" s="10" t="s">
        <v>236</v>
      </c>
      <c r="B71" s="10"/>
      <c r="C71" s="10"/>
      <c r="D71" s="10"/>
      <c r="E71" s="10">
        <v>4695</v>
      </c>
      <c r="F71" s="10"/>
      <c r="G71" s="10"/>
      <c r="H71" s="10"/>
      <c r="I71" s="10"/>
      <c r="J71" s="10"/>
      <c r="K71" s="10">
        <v>790</v>
      </c>
      <c r="L71" s="10"/>
      <c r="M71" s="10">
        <v>7</v>
      </c>
      <c r="N71" s="10">
        <v>55392</v>
      </c>
      <c r="O71" s="10"/>
      <c r="P71" s="10"/>
      <c r="Q71" s="10"/>
      <c r="R71" s="10"/>
      <c r="S71" s="10"/>
      <c r="T71" s="10">
        <v>211657.45900000003</v>
      </c>
      <c r="U71" s="10"/>
      <c r="V71" s="10"/>
      <c r="W71" s="10"/>
      <c r="X71" s="10">
        <v>65429</v>
      </c>
      <c r="Y71" s="10"/>
      <c r="Z71" s="10">
        <v>2</v>
      </c>
      <c r="AA71" s="10"/>
      <c r="AB71" s="10"/>
      <c r="AC71" s="10"/>
      <c r="AD71" s="10">
        <v>383369</v>
      </c>
      <c r="AE71" s="10">
        <v>535380</v>
      </c>
      <c r="AF71" s="10">
        <v>71583</v>
      </c>
      <c r="AG71" s="10"/>
      <c r="AH71" s="11">
        <f>SUM(B71:AG71)</f>
        <v>1328304.459</v>
      </c>
    </row>
    <row r="72" spans="1:34" ht="30" customHeight="1" x14ac:dyDescent="0.25">
      <c r="A72" s="90" t="s">
        <v>307</v>
      </c>
      <c r="B72" s="10"/>
      <c r="C72" s="10"/>
      <c r="D72" s="10"/>
      <c r="E72" s="10">
        <v>4909</v>
      </c>
      <c r="F72" s="10"/>
      <c r="G72" s="10"/>
      <c r="H72" s="10"/>
      <c r="I72" s="10"/>
      <c r="J72" s="10"/>
      <c r="K72" s="10">
        <v>-10320</v>
      </c>
      <c r="L72" s="10"/>
      <c r="M72" s="10">
        <f>23-14</f>
        <v>9</v>
      </c>
      <c r="N72" s="10">
        <v>-9148</v>
      </c>
      <c r="O72" s="10"/>
      <c r="P72" s="10"/>
      <c r="Q72" s="10"/>
      <c r="R72" s="10"/>
      <c r="S72" s="10"/>
      <c r="T72" s="10">
        <v>-4341.9759999999997</v>
      </c>
      <c r="U72" s="10"/>
      <c r="V72" s="10"/>
      <c r="W72" s="10"/>
      <c r="X72" s="10">
        <v>34463</v>
      </c>
      <c r="Y72" s="10"/>
      <c r="Z72" s="10">
        <v>1</v>
      </c>
      <c r="AA72" s="10"/>
      <c r="AB72" s="10"/>
      <c r="AC72" s="10"/>
      <c r="AD72" s="10">
        <v>-39082</v>
      </c>
      <c r="AE72" s="10">
        <v>6556</v>
      </c>
      <c r="AF72" s="10">
        <v>-32658</v>
      </c>
      <c r="AG72" s="10"/>
      <c r="AH72" s="11"/>
    </row>
    <row r="73" spans="1:34" x14ac:dyDescent="0.25">
      <c r="A73" s="10" t="s">
        <v>237</v>
      </c>
      <c r="B73" s="10"/>
      <c r="C73" s="10"/>
      <c r="D73" s="10"/>
      <c r="E73" s="10">
        <v>3880</v>
      </c>
      <c r="F73" s="10"/>
      <c r="G73" s="10"/>
      <c r="H73" s="10"/>
      <c r="I73" s="10"/>
      <c r="J73" s="10"/>
      <c r="K73" s="10">
        <v>11110</v>
      </c>
      <c r="L73" s="10"/>
      <c r="M73" s="10">
        <v>16</v>
      </c>
      <c r="N73" s="10">
        <v>64540</v>
      </c>
      <c r="O73" s="10"/>
      <c r="P73" s="10"/>
      <c r="Q73" s="10"/>
      <c r="R73" s="10"/>
      <c r="S73" s="10"/>
      <c r="T73" s="10">
        <v>215999.43500000003</v>
      </c>
      <c r="U73" s="10"/>
      <c r="V73" s="10"/>
      <c r="W73" s="10"/>
      <c r="X73" s="10">
        <v>32500</v>
      </c>
      <c r="Y73" s="10"/>
      <c r="Z73" s="10">
        <v>3</v>
      </c>
      <c r="AA73" s="10"/>
      <c r="AB73" s="10"/>
      <c r="AC73" s="10"/>
      <c r="AD73" s="10">
        <v>422450</v>
      </c>
      <c r="AE73" s="10">
        <v>528824</v>
      </c>
      <c r="AF73" s="10">
        <v>38925</v>
      </c>
      <c r="AG73" s="10"/>
      <c r="AH73" s="11">
        <f>SUM(B73:AG73)</f>
        <v>1318247.4350000001</v>
      </c>
    </row>
    <row r="75" spans="1:34" x14ac:dyDescent="0.25">
      <c r="A75" s="31" t="s">
        <v>231</v>
      </c>
    </row>
    <row r="76" spans="1:34" x14ac:dyDescent="0.25">
      <c r="A76" s="1" t="s">
        <v>0</v>
      </c>
      <c r="B76" s="89" t="s">
        <v>1</v>
      </c>
      <c r="C76" s="89" t="s">
        <v>290</v>
      </c>
      <c r="D76" s="89" t="s">
        <v>3</v>
      </c>
      <c r="E76" s="89" t="s">
        <v>4</v>
      </c>
      <c r="F76" s="89" t="s">
        <v>5</v>
      </c>
      <c r="G76" s="89" t="s">
        <v>291</v>
      </c>
      <c r="H76" s="89" t="s">
        <v>292</v>
      </c>
      <c r="I76" s="89" t="s">
        <v>8</v>
      </c>
      <c r="J76" s="89" t="s">
        <v>7</v>
      </c>
      <c r="K76" s="89" t="s">
        <v>9</v>
      </c>
      <c r="L76" s="89" t="s">
        <v>288</v>
      </c>
      <c r="M76" s="89" t="s">
        <v>11</v>
      </c>
      <c r="N76" s="89" t="s">
        <v>12</v>
      </c>
      <c r="O76" s="89" t="s">
        <v>13</v>
      </c>
      <c r="P76" s="89" t="s">
        <v>14</v>
      </c>
      <c r="Q76" s="89" t="s">
        <v>15</v>
      </c>
      <c r="R76" s="89" t="s">
        <v>16</v>
      </c>
      <c r="S76" s="89" t="s">
        <v>293</v>
      </c>
      <c r="T76" s="92" t="s">
        <v>17</v>
      </c>
      <c r="U76" s="92" t="s">
        <v>294</v>
      </c>
      <c r="V76" s="92" t="s">
        <v>313</v>
      </c>
      <c r="W76" s="89" t="s">
        <v>289</v>
      </c>
      <c r="X76" s="89" t="s">
        <v>295</v>
      </c>
      <c r="Y76" s="89" t="s">
        <v>20</v>
      </c>
      <c r="Z76" s="89" t="s">
        <v>21</v>
      </c>
      <c r="AA76" s="89" t="s">
        <v>22</v>
      </c>
      <c r="AB76" s="89" t="s">
        <v>23</v>
      </c>
      <c r="AC76" s="89" t="s">
        <v>24</v>
      </c>
      <c r="AD76" s="88" t="s">
        <v>296</v>
      </c>
      <c r="AE76" s="88" t="s">
        <v>297</v>
      </c>
      <c r="AF76" s="88" t="s">
        <v>25</v>
      </c>
      <c r="AG76" s="89" t="s">
        <v>26</v>
      </c>
      <c r="AH76" s="85" t="s">
        <v>27</v>
      </c>
    </row>
    <row r="77" spans="1:34" x14ac:dyDescent="0.25">
      <c r="A77" s="10" t="s">
        <v>278</v>
      </c>
      <c r="B77" s="10">
        <f t="shared" ref="B77:AG77" si="2">B86-B68-B59-B50-B41-B32-B23-B14-B5</f>
        <v>80947</v>
      </c>
      <c r="C77" s="10">
        <f t="shared" si="2"/>
        <v>0</v>
      </c>
      <c r="D77" s="10">
        <f t="shared" si="2"/>
        <v>2070056</v>
      </c>
      <c r="E77" s="10">
        <f t="shared" si="2"/>
        <v>2792201</v>
      </c>
      <c r="F77" s="10">
        <f t="shared" si="2"/>
        <v>0</v>
      </c>
      <c r="G77" s="10">
        <f t="shared" si="2"/>
        <v>0</v>
      </c>
      <c r="H77" s="10">
        <f t="shared" si="2"/>
        <v>118468</v>
      </c>
      <c r="I77" s="10">
        <f t="shared" si="2"/>
        <v>1934851.3</v>
      </c>
      <c r="J77" s="10">
        <f t="shared" si="2"/>
        <v>386</v>
      </c>
      <c r="K77" s="10">
        <f t="shared" si="2"/>
        <v>632046</v>
      </c>
      <c r="L77" s="10">
        <f t="shared" si="2"/>
        <v>754727</v>
      </c>
      <c r="M77" s="10">
        <f t="shared" si="2"/>
        <v>1353258</v>
      </c>
      <c r="N77" s="10">
        <f t="shared" si="2"/>
        <v>2594585</v>
      </c>
      <c r="O77" s="10">
        <f t="shared" si="2"/>
        <v>1543508</v>
      </c>
      <c r="P77" s="10">
        <f t="shared" si="2"/>
        <v>15320</v>
      </c>
      <c r="Q77" s="10">
        <f t="shared" si="2"/>
        <v>226677</v>
      </c>
      <c r="R77" s="10">
        <f t="shared" si="2"/>
        <v>123044</v>
      </c>
      <c r="S77" s="10">
        <f t="shared" si="2"/>
        <v>0</v>
      </c>
      <c r="T77" s="10">
        <f t="shared" si="2"/>
        <v>1383381.981399999</v>
      </c>
      <c r="U77" s="10">
        <f t="shared" si="2"/>
        <v>6496</v>
      </c>
      <c r="V77" s="10">
        <f t="shared" si="2"/>
        <v>0</v>
      </c>
      <c r="W77" s="10">
        <f t="shared" si="2"/>
        <v>172669</v>
      </c>
      <c r="X77" s="10">
        <f t="shared" si="2"/>
        <v>346109</v>
      </c>
      <c r="Y77" s="10">
        <f t="shared" si="2"/>
        <v>61515</v>
      </c>
      <c r="Z77" s="10">
        <f t="shared" si="2"/>
        <v>593284</v>
      </c>
      <c r="AA77" s="10">
        <f t="shared" si="2"/>
        <v>35929</v>
      </c>
      <c r="AB77" s="10">
        <f t="shared" si="2"/>
        <v>21851027</v>
      </c>
      <c r="AC77" s="10">
        <f t="shared" si="2"/>
        <v>1587374</v>
      </c>
      <c r="AD77" s="10">
        <f t="shared" si="2"/>
        <v>5245840</v>
      </c>
      <c r="AE77" s="10">
        <f t="shared" si="2"/>
        <v>1289541</v>
      </c>
      <c r="AF77" s="10">
        <f t="shared" si="2"/>
        <v>1701016</v>
      </c>
      <c r="AG77" s="10">
        <f t="shared" si="2"/>
        <v>100446</v>
      </c>
      <c r="AH77" s="11">
        <f t="shared" ref="AH77:AH82" si="3">SUM(B77:AG77)</f>
        <v>48614702.281399995</v>
      </c>
    </row>
    <row r="78" spans="1:34" x14ac:dyDescent="0.25">
      <c r="A78" s="10" t="s">
        <v>281</v>
      </c>
      <c r="B78" s="10">
        <f t="shared" ref="B78:AG78" si="4">B87-B69-B60-B51-B42-B33-B24-B15-B6</f>
        <v>0</v>
      </c>
      <c r="C78" s="10">
        <f t="shared" si="4"/>
        <v>0</v>
      </c>
      <c r="D78" s="10">
        <f t="shared" si="4"/>
        <v>0</v>
      </c>
      <c r="E78" s="10">
        <f t="shared" si="4"/>
        <v>0</v>
      </c>
      <c r="F78" s="10">
        <f t="shared" si="4"/>
        <v>0</v>
      </c>
      <c r="G78" s="10">
        <f t="shared" si="4"/>
        <v>0</v>
      </c>
      <c r="H78" s="10">
        <f t="shared" si="4"/>
        <v>0</v>
      </c>
      <c r="I78" s="10">
        <f t="shared" si="4"/>
        <v>0</v>
      </c>
      <c r="J78" s="10">
        <f t="shared" si="4"/>
        <v>-1</v>
      </c>
      <c r="K78" s="10">
        <f t="shared" si="4"/>
        <v>4764</v>
      </c>
      <c r="L78" s="10">
        <f t="shared" si="4"/>
        <v>30971</v>
      </c>
      <c r="M78" s="10">
        <f t="shared" si="4"/>
        <v>79472</v>
      </c>
      <c r="N78" s="10">
        <f t="shared" si="4"/>
        <v>103783</v>
      </c>
      <c r="O78" s="10">
        <f t="shared" si="4"/>
        <v>10862</v>
      </c>
      <c r="P78" s="10">
        <f t="shared" si="4"/>
        <v>1740</v>
      </c>
      <c r="Q78" s="10">
        <f t="shared" si="4"/>
        <v>3832</v>
      </c>
      <c r="R78" s="10">
        <f t="shared" si="4"/>
        <v>2250</v>
      </c>
      <c r="S78" s="10">
        <f t="shared" si="4"/>
        <v>0</v>
      </c>
      <c r="T78" s="10">
        <f t="shared" si="4"/>
        <v>26598.078556250053</v>
      </c>
      <c r="U78" s="10">
        <f t="shared" si="4"/>
        <v>0</v>
      </c>
      <c r="V78" s="10">
        <f t="shared" si="4"/>
        <v>0</v>
      </c>
      <c r="W78" s="10">
        <f t="shared" si="4"/>
        <v>41106</v>
      </c>
      <c r="X78" s="10">
        <f t="shared" si="4"/>
        <v>0</v>
      </c>
      <c r="Y78" s="10">
        <f t="shared" si="4"/>
        <v>23</v>
      </c>
      <c r="Z78" s="10">
        <f t="shared" si="4"/>
        <v>9747</v>
      </c>
      <c r="AA78" s="10">
        <f t="shared" si="4"/>
        <v>0</v>
      </c>
      <c r="AB78" s="10">
        <f t="shared" si="4"/>
        <v>0</v>
      </c>
      <c r="AC78" s="10">
        <f t="shared" si="4"/>
        <v>91363</v>
      </c>
      <c r="AD78" s="10">
        <f t="shared" si="4"/>
        <v>8390</v>
      </c>
      <c r="AE78" s="10">
        <f t="shared" si="4"/>
        <v>5235</v>
      </c>
      <c r="AF78" s="10">
        <f t="shared" si="4"/>
        <v>10426</v>
      </c>
      <c r="AG78" s="10">
        <f t="shared" si="4"/>
        <v>0</v>
      </c>
      <c r="AH78" s="11">
        <f t="shared" si="3"/>
        <v>430561.07855625008</v>
      </c>
    </row>
    <row r="79" spans="1:34" x14ac:dyDescent="0.25">
      <c r="A79" s="10" t="s">
        <v>282</v>
      </c>
      <c r="B79" s="10">
        <f t="shared" ref="B79:AG79" si="5">B88-B70-B61-B52-B43-B34-B25-B16-B7</f>
        <v>52395</v>
      </c>
      <c r="C79" s="10">
        <f t="shared" si="5"/>
        <v>0</v>
      </c>
      <c r="D79" s="10">
        <f t="shared" si="5"/>
        <v>1288778</v>
      </c>
      <c r="E79" s="10">
        <f t="shared" si="5"/>
        <v>1869286</v>
      </c>
      <c r="F79" s="10">
        <f t="shared" si="5"/>
        <v>0</v>
      </c>
      <c r="G79" s="10">
        <f t="shared" si="5"/>
        <v>0</v>
      </c>
      <c r="H79" s="10">
        <f t="shared" si="5"/>
        <v>34742</v>
      </c>
      <c r="I79" s="10">
        <f t="shared" si="5"/>
        <v>502670.96</v>
      </c>
      <c r="J79" s="10">
        <f t="shared" si="5"/>
        <v>78</v>
      </c>
      <c r="K79" s="10">
        <f t="shared" si="5"/>
        <v>210178</v>
      </c>
      <c r="L79" s="10">
        <f t="shared" si="5"/>
        <v>95714</v>
      </c>
      <c r="M79" s="10">
        <f t="shared" si="5"/>
        <v>-1017580</v>
      </c>
      <c r="N79" s="10">
        <f t="shared" si="5"/>
        <v>1482928</v>
      </c>
      <c r="O79" s="10">
        <f t="shared" si="5"/>
        <v>502621</v>
      </c>
      <c r="P79" s="10">
        <f t="shared" si="5"/>
        <v>13791</v>
      </c>
      <c r="Q79" s="10">
        <f t="shared" si="5"/>
        <v>229519</v>
      </c>
      <c r="R79" s="10">
        <f t="shared" si="5"/>
        <v>-118067</v>
      </c>
      <c r="S79" s="10">
        <f t="shared" si="5"/>
        <v>0</v>
      </c>
      <c r="T79" s="10">
        <f t="shared" si="5"/>
        <v>207094.63064299943</v>
      </c>
      <c r="U79" s="10">
        <f t="shared" si="5"/>
        <v>-882</v>
      </c>
      <c r="V79" s="10">
        <f t="shared" si="5"/>
        <v>0</v>
      </c>
      <c r="W79" s="10">
        <f t="shared" si="5"/>
        <v>53849</v>
      </c>
      <c r="X79" s="10">
        <f t="shared" si="5"/>
        <v>146537</v>
      </c>
      <c r="Y79" s="10">
        <f t="shared" si="5"/>
        <v>-27950</v>
      </c>
      <c r="Z79" s="10">
        <f t="shared" si="5"/>
        <v>333505</v>
      </c>
      <c r="AA79" s="10">
        <f t="shared" si="5"/>
        <v>11080</v>
      </c>
      <c r="AB79" s="10">
        <f t="shared" si="5"/>
        <v>1354786</v>
      </c>
      <c r="AC79" s="10">
        <f t="shared" si="5"/>
        <v>1268219</v>
      </c>
      <c r="AD79" s="10">
        <f t="shared" si="5"/>
        <v>1809598</v>
      </c>
      <c r="AE79" s="10">
        <f t="shared" si="5"/>
        <v>136524</v>
      </c>
      <c r="AF79" s="10">
        <f t="shared" si="5"/>
        <v>625443</v>
      </c>
      <c r="AG79" s="10">
        <f t="shared" si="5"/>
        <v>43605</v>
      </c>
      <c r="AH79" s="11">
        <f t="shared" si="3"/>
        <v>11108462.590643</v>
      </c>
    </row>
    <row r="80" spans="1:34" x14ac:dyDescent="0.25">
      <c r="A80" s="10" t="s">
        <v>236</v>
      </c>
      <c r="B80" s="10">
        <f t="shared" ref="B80:AG81" si="6">B89-B71-B62-B53-B44-B35-B26-B17-B8</f>
        <v>28552</v>
      </c>
      <c r="C80" s="10">
        <f t="shared" si="6"/>
        <v>0</v>
      </c>
      <c r="D80" s="10">
        <f t="shared" si="6"/>
        <v>781279</v>
      </c>
      <c r="E80" s="10">
        <f t="shared" si="6"/>
        <v>922915</v>
      </c>
      <c r="F80" s="10">
        <f t="shared" si="6"/>
        <v>0</v>
      </c>
      <c r="G80" s="10">
        <f t="shared" si="6"/>
        <v>0</v>
      </c>
      <c r="H80" s="10">
        <f t="shared" si="6"/>
        <v>83726</v>
      </c>
      <c r="I80" s="10">
        <f t="shared" si="6"/>
        <v>1432180.34</v>
      </c>
      <c r="J80" s="10">
        <f t="shared" si="6"/>
        <v>307</v>
      </c>
      <c r="K80" s="10">
        <f t="shared" si="6"/>
        <v>426633</v>
      </c>
      <c r="L80" s="10">
        <f t="shared" si="6"/>
        <v>689984</v>
      </c>
      <c r="M80" s="10">
        <f t="shared" si="6"/>
        <v>415150</v>
      </c>
      <c r="N80" s="10">
        <f t="shared" si="6"/>
        <v>1215440</v>
      </c>
      <c r="O80" s="10">
        <f t="shared" si="6"/>
        <v>1051749</v>
      </c>
      <c r="P80" s="10">
        <f t="shared" si="6"/>
        <v>3269</v>
      </c>
      <c r="Q80" s="10">
        <f t="shared" si="6"/>
        <v>990</v>
      </c>
      <c r="R80" s="10">
        <f t="shared" si="6"/>
        <v>7227</v>
      </c>
      <c r="S80" s="10">
        <f t="shared" si="6"/>
        <v>0</v>
      </c>
      <c r="T80" s="10">
        <f t="shared" si="6"/>
        <v>1202884.4293132508</v>
      </c>
      <c r="U80" s="10">
        <f t="shared" si="6"/>
        <v>5614</v>
      </c>
      <c r="V80" s="10">
        <f t="shared" si="6"/>
        <v>0</v>
      </c>
      <c r="W80" s="10">
        <f t="shared" si="6"/>
        <v>159925</v>
      </c>
      <c r="X80" s="10">
        <f t="shared" si="6"/>
        <v>199572</v>
      </c>
      <c r="Y80" s="10">
        <f t="shared" si="6"/>
        <v>33588</v>
      </c>
      <c r="Z80" s="10">
        <f t="shared" si="6"/>
        <v>269526</v>
      </c>
      <c r="AA80" s="10">
        <f t="shared" si="6"/>
        <v>24848</v>
      </c>
      <c r="AB80" s="10">
        <f t="shared" si="6"/>
        <v>20496241</v>
      </c>
      <c r="AC80" s="10">
        <f t="shared" si="6"/>
        <v>410518</v>
      </c>
      <c r="AD80" s="10">
        <f t="shared" si="6"/>
        <v>3444631</v>
      </c>
      <c r="AE80" s="10">
        <f t="shared" si="6"/>
        <v>1158252</v>
      </c>
      <c r="AF80" s="10">
        <f t="shared" si="6"/>
        <v>1085999</v>
      </c>
      <c r="AG80" s="10">
        <f t="shared" si="6"/>
        <v>56841</v>
      </c>
      <c r="AH80" s="11">
        <f t="shared" si="3"/>
        <v>35607840.769313246</v>
      </c>
    </row>
    <row r="81" spans="1:34" ht="30" customHeight="1" x14ac:dyDescent="0.25">
      <c r="A81" s="90" t="s">
        <v>307</v>
      </c>
      <c r="B81" s="10">
        <f t="shared" si="6"/>
        <v>-6692</v>
      </c>
      <c r="C81" s="10">
        <f t="shared" si="6"/>
        <v>0</v>
      </c>
      <c r="D81" s="10">
        <f t="shared" si="6"/>
        <v>5887819</v>
      </c>
      <c r="E81" s="10">
        <f t="shared" si="6"/>
        <v>394775</v>
      </c>
      <c r="F81" s="10">
        <f t="shared" si="6"/>
        <v>0</v>
      </c>
      <c r="G81" s="10">
        <f t="shared" si="6"/>
        <v>0</v>
      </c>
      <c r="H81" s="10">
        <f t="shared" si="6"/>
        <v>-13920</v>
      </c>
      <c r="I81" s="10">
        <f t="shared" si="6"/>
        <v>-117739.13</v>
      </c>
      <c r="J81" s="10">
        <f t="shared" si="6"/>
        <v>130</v>
      </c>
      <c r="K81" s="10">
        <f t="shared" si="6"/>
        <v>81132</v>
      </c>
      <c r="L81" s="10">
        <f t="shared" si="6"/>
        <v>475412</v>
      </c>
      <c r="M81" s="10">
        <f t="shared" si="6"/>
        <v>96284</v>
      </c>
      <c r="N81" s="10">
        <f t="shared" si="6"/>
        <v>229533</v>
      </c>
      <c r="O81" s="10">
        <f t="shared" si="6"/>
        <v>518207</v>
      </c>
      <c r="P81" s="10">
        <f t="shared" si="6"/>
        <v>-11343</v>
      </c>
      <c r="Q81" s="10">
        <f t="shared" si="6"/>
        <v>-85888</v>
      </c>
      <c r="R81" s="10">
        <f t="shared" si="6"/>
        <v>-1634</v>
      </c>
      <c r="S81" s="10">
        <f t="shared" si="6"/>
        <v>0</v>
      </c>
      <c r="T81" s="10">
        <f t="shared" si="6"/>
        <v>221458.65799999997</v>
      </c>
      <c r="U81" s="10">
        <f t="shared" si="6"/>
        <v>-505</v>
      </c>
      <c r="V81" s="10">
        <f t="shared" si="6"/>
        <v>0</v>
      </c>
      <c r="W81" s="10">
        <f t="shared" si="6"/>
        <v>25318</v>
      </c>
      <c r="X81" s="10">
        <f t="shared" si="6"/>
        <v>41470</v>
      </c>
      <c r="Y81" s="10">
        <f t="shared" si="6"/>
        <v>-3695</v>
      </c>
      <c r="Z81" s="10">
        <f t="shared" si="6"/>
        <v>215762</v>
      </c>
      <c r="AA81" s="10">
        <f t="shared" si="6"/>
        <v>-7077</v>
      </c>
      <c r="AB81" s="10">
        <f t="shared" si="6"/>
        <v>-1933548</v>
      </c>
      <c r="AC81" s="10">
        <f t="shared" si="6"/>
        <v>82739</v>
      </c>
      <c r="AD81" s="10">
        <f t="shared" si="6"/>
        <v>392366</v>
      </c>
      <c r="AE81" s="10">
        <f t="shared" si="6"/>
        <v>-1211005</v>
      </c>
      <c r="AF81" s="10">
        <f t="shared" si="6"/>
        <v>117352</v>
      </c>
      <c r="AG81" s="10">
        <f t="shared" si="6"/>
        <v>42752</v>
      </c>
      <c r="AH81" s="11">
        <f t="shared" si="3"/>
        <v>5429463.5279999999</v>
      </c>
    </row>
    <row r="82" spans="1:34" x14ac:dyDescent="0.25">
      <c r="A82" s="10" t="s">
        <v>237</v>
      </c>
      <c r="B82" s="10">
        <f t="shared" ref="B82:AG82" si="7">B91-B73-B64-B55-B46-B37-B28-B19-B10</f>
        <v>35244</v>
      </c>
      <c r="C82" s="10">
        <f t="shared" si="7"/>
        <v>0</v>
      </c>
      <c r="D82" s="10">
        <f t="shared" si="7"/>
        <v>6669098</v>
      </c>
      <c r="E82" s="10">
        <f t="shared" si="7"/>
        <v>902027</v>
      </c>
      <c r="F82" s="10">
        <f t="shared" si="7"/>
        <v>0</v>
      </c>
      <c r="G82" s="10">
        <f t="shared" si="7"/>
        <v>0</v>
      </c>
      <c r="H82" s="10">
        <f t="shared" si="7"/>
        <v>97646</v>
      </c>
      <c r="I82" s="10">
        <f t="shared" si="7"/>
        <v>1314441.21</v>
      </c>
      <c r="J82" s="10">
        <f t="shared" si="7"/>
        <v>177</v>
      </c>
      <c r="K82" s="10">
        <f t="shared" si="7"/>
        <v>345498</v>
      </c>
      <c r="L82" s="10">
        <f t="shared" si="7"/>
        <v>214572</v>
      </c>
      <c r="M82" s="10">
        <f t="shared" si="7"/>
        <v>511436</v>
      </c>
      <c r="N82" s="10">
        <f t="shared" si="7"/>
        <v>985907</v>
      </c>
      <c r="O82" s="10">
        <f t="shared" si="7"/>
        <v>533542</v>
      </c>
      <c r="P82" s="10">
        <f t="shared" si="7"/>
        <v>14612</v>
      </c>
      <c r="Q82" s="10">
        <f t="shared" si="7"/>
        <v>86877</v>
      </c>
      <c r="R82" s="10">
        <f t="shared" si="7"/>
        <v>8861</v>
      </c>
      <c r="S82" s="10">
        <f t="shared" si="7"/>
        <v>0</v>
      </c>
      <c r="T82" s="10">
        <f t="shared" si="7"/>
        <v>981426.77131324681</v>
      </c>
      <c r="U82" s="10">
        <f t="shared" si="7"/>
        <v>15197</v>
      </c>
      <c r="V82" s="10">
        <f t="shared" si="7"/>
        <v>0</v>
      </c>
      <c r="W82" s="10">
        <f t="shared" si="7"/>
        <v>134604</v>
      </c>
      <c r="X82" s="10">
        <f t="shared" si="7"/>
        <v>179668</v>
      </c>
      <c r="Y82" s="10">
        <f t="shared" si="7"/>
        <v>29893</v>
      </c>
      <c r="Z82" s="10">
        <f t="shared" si="7"/>
        <v>485288</v>
      </c>
      <c r="AA82" s="10">
        <f t="shared" si="7"/>
        <v>31927</v>
      </c>
      <c r="AB82" s="10">
        <f t="shared" si="7"/>
        <v>22429789</v>
      </c>
      <c r="AC82" s="10">
        <f t="shared" si="7"/>
        <v>493257</v>
      </c>
      <c r="AD82" s="10">
        <f t="shared" si="7"/>
        <v>3052267</v>
      </c>
      <c r="AE82" s="10">
        <f t="shared" si="7"/>
        <v>2369257</v>
      </c>
      <c r="AF82" s="10">
        <f t="shared" si="7"/>
        <v>1203351</v>
      </c>
      <c r="AG82" s="10">
        <f t="shared" si="7"/>
        <v>99593</v>
      </c>
      <c r="AH82" s="11">
        <f t="shared" si="3"/>
        <v>43225455.981313244</v>
      </c>
    </row>
    <row r="84" spans="1:34" x14ac:dyDescent="0.25">
      <c r="A84" s="31" t="s">
        <v>48</v>
      </c>
    </row>
    <row r="85" spans="1:34" x14ac:dyDescent="0.25">
      <c r="A85" s="1" t="s">
        <v>0</v>
      </c>
      <c r="B85" s="89" t="s">
        <v>1</v>
      </c>
      <c r="C85" s="89" t="s">
        <v>290</v>
      </c>
      <c r="D85" s="89" t="s">
        <v>3</v>
      </c>
      <c r="E85" s="89" t="s">
        <v>4</v>
      </c>
      <c r="F85" s="89" t="s">
        <v>5</v>
      </c>
      <c r="G85" s="89" t="s">
        <v>291</v>
      </c>
      <c r="H85" s="89" t="s">
        <v>292</v>
      </c>
      <c r="I85" s="89" t="s">
        <v>8</v>
      </c>
      <c r="J85" s="89" t="s">
        <v>7</v>
      </c>
      <c r="K85" s="89" t="s">
        <v>9</v>
      </c>
      <c r="L85" s="89" t="s">
        <v>288</v>
      </c>
      <c r="M85" s="89" t="s">
        <v>11</v>
      </c>
      <c r="N85" s="89" t="s">
        <v>12</v>
      </c>
      <c r="O85" s="89" t="s">
        <v>13</v>
      </c>
      <c r="P85" s="89" t="s">
        <v>14</v>
      </c>
      <c r="Q85" s="89" t="s">
        <v>15</v>
      </c>
      <c r="R85" s="89" t="s">
        <v>16</v>
      </c>
      <c r="S85" s="89" t="s">
        <v>293</v>
      </c>
      <c r="T85" s="92" t="s">
        <v>17</v>
      </c>
      <c r="U85" s="92" t="s">
        <v>294</v>
      </c>
      <c r="V85" s="92" t="s">
        <v>313</v>
      </c>
      <c r="W85" s="89" t="s">
        <v>289</v>
      </c>
      <c r="X85" s="89" t="s">
        <v>295</v>
      </c>
      <c r="Y85" s="89" t="s">
        <v>20</v>
      </c>
      <c r="Z85" s="89" t="s">
        <v>21</v>
      </c>
      <c r="AA85" s="89" t="s">
        <v>22</v>
      </c>
      <c r="AB85" s="89" t="s">
        <v>23</v>
      </c>
      <c r="AC85" s="89" t="s">
        <v>24</v>
      </c>
      <c r="AD85" s="88" t="s">
        <v>296</v>
      </c>
      <c r="AE85" s="88" t="s">
        <v>297</v>
      </c>
      <c r="AF85" s="88" t="s">
        <v>25</v>
      </c>
      <c r="AG85" s="89" t="s">
        <v>26</v>
      </c>
      <c r="AH85" s="85" t="s">
        <v>27</v>
      </c>
    </row>
    <row r="86" spans="1:34" x14ac:dyDescent="0.25">
      <c r="A86" s="10" t="s">
        <v>278</v>
      </c>
      <c r="B86" s="10">
        <v>1702554</v>
      </c>
      <c r="C86" s="10">
        <v>3675154</v>
      </c>
      <c r="D86" s="10">
        <v>2070056</v>
      </c>
      <c r="E86" s="10">
        <v>24716689</v>
      </c>
      <c r="F86" s="10"/>
      <c r="G86" s="10">
        <v>7435497</v>
      </c>
      <c r="H86" s="10">
        <v>9004970</v>
      </c>
      <c r="I86" s="10">
        <v>1934851.3</v>
      </c>
      <c r="J86" s="10">
        <v>607765</v>
      </c>
      <c r="K86" s="10">
        <v>6994623</v>
      </c>
      <c r="L86" s="10">
        <v>7881040</v>
      </c>
      <c r="M86" s="10">
        <v>23863107</v>
      </c>
      <c r="N86" s="10">
        <v>37329631</v>
      </c>
      <c r="O86" s="10">
        <v>18324765</v>
      </c>
      <c r="P86" s="10">
        <v>1189844</v>
      </c>
      <c r="Q86" s="10">
        <v>3369591</v>
      </c>
      <c r="R86" s="10">
        <v>2963746</v>
      </c>
      <c r="S86" s="10">
        <v>2111806</v>
      </c>
      <c r="T86" s="10">
        <v>30961465.407125</v>
      </c>
      <c r="U86" s="10">
        <v>77145</v>
      </c>
      <c r="V86" s="10">
        <v>5847790</v>
      </c>
      <c r="W86" s="10">
        <v>872484</v>
      </c>
      <c r="X86" s="10">
        <v>20544553</v>
      </c>
      <c r="Y86" s="10">
        <v>6193164</v>
      </c>
      <c r="Z86" s="10">
        <v>11643597</v>
      </c>
      <c r="AA86" s="10">
        <v>3442916</v>
      </c>
      <c r="AB86" s="10">
        <v>21851027</v>
      </c>
      <c r="AC86" s="10">
        <v>20740078</v>
      </c>
      <c r="AD86" s="10">
        <v>94604088</v>
      </c>
      <c r="AE86" s="10">
        <v>32086353</v>
      </c>
      <c r="AF86" s="10">
        <v>36795058</v>
      </c>
      <c r="AG86" s="10">
        <v>5005709</v>
      </c>
      <c r="AH86" s="11">
        <f>SUM(B86:AG86)</f>
        <v>445841116.70712501</v>
      </c>
    </row>
    <row r="87" spans="1:34" x14ac:dyDescent="0.25">
      <c r="A87" s="10" t="s">
        <v>281</v>
      </c>
      <c r="B87" s="10"/>
      <c r="C87" s="10"/>
      <c r="D87" s="10">
        <v>0</v>
      </c>
      <c r="E87" s="10">
        <v>226888</v>
      </c>
      <c r="F87" s="10"/>
      <c r="G87" s="10">
        <v>146865</v>
      </c>
      <c r="H87" s="10">
        <v>32571</v>
      </c>
      <c r="I87" s="10"/>
      <c r="J87" s="10">
        <v>21938</v>
      </c>
      <c r="K87" s="10">
        <v>294431</v>
      </c>
      <c r="L87" s="10">
        <v>2078682</v>
      </c>
      <c r="M87" s="10">
        <v>962830</v>
      </c>
      <c r="N87" s="10">
        <v>745969</v>
      </c>
      <c r="O87" s="10">
        <v>312875</v>
      </c>
      <c r="P87" s="10">
        <v>23419</v>
      </c>
      <c r="Q87" s="10">
        <v>19284</v>
      </c>
      <c r="R87" s="10">
        <v>267959</v>
      </c>
      <c r="S87" s="10"/>
      <c r="T87" s="10">
        <v>487408.99375000002</v>
      </c>
      <c r="U87" s="10">
        <v>1102</v>
      </c>
      <c r="V87" s="10"/>
      <c r="W87" s="10">
        <v>87638</v>
      </c>
      <c r="X87" s="10">
        <v>353727</v>
      </c>
      <c r="Y87" s="10">
        <v>455401</v>
      </c>
      <c r="Z87" s="10">
        <v>99939</v>
      </c>
      <c r="AA87" s="10">
        <v>11018</v>
      </c>
      <c r="AB87" s="10"/>
      <c r="AC87" s="10">
        <v>778925</v>
      </c>
      <c r="AD87" s="10">
        <v>2574922</v>
      </c>
      <c r="AE87" s="10">
        <v>750660</v>
      </c>
      <c r="AF87" s="10">
        <v>801759</v>
      </c>
      <c r="AG87" s="10">
        <v>5509</v>
      </c>
      <c r="AH87" s="11">
        <f>SUM(B87:AG87)</f>
        <v>11541719.99375</v>
      </c>
    </row>
    <row r="88" spans="1:34" x14ac:dyDescent="0.25">
      <c r="A88" s="10" t="s">
        <v>282</v>
      </c>
      <c r="B88" s="10">
        <v>627453</v>
      </c>
      <c r="C88" s="10">
        <v>-854060</v>
      </c>
      <c r="D88" s="10">
        <v>1288778</v>
      </c>
      <c r="E88" s="10">
        <v>9591910</v>
      </c>
      <c r="F88" s="10"/>
      <c r="G88" s="10">
        <v>1615413</v>
      </c>
      <c r="H88" s="10">
        <v>2474470</v>
      </c>
      <c r="I88" s="10">
        <v>502670.96</v>
      </c>
      <c r="J88" s="10">
        <v>131075</v>
      </c>
      <c r="K88" s="10">
        <v>2115684</v>
      </c>
      <c r="L88" s="10">
        <v>2707741</v>
      </c>
      <c r="M88" s="10">
        <v>-11407669</v>
      </c>
      <c r="N88" s="10">
        <v>13294278</v>
      </c>
      <c r="O88" s="10">
        <v>5917545</v>
      </c>
      <c r="P88" s="10">
        <v>275501</v>
      </c>
      <c r="Q88" s="10">
        <v>955389</v>
      </c>
      <c r="R88" s="10">
        <v>-1424659</v>
      </c>
      <c r="S88" s="10">
        <v>111634</v>
      </c>
      <c r="T88" s="10">
        <v>3664442.1497124992</v>
      </c>
      <c r="U88" s="10">
        <v>-14100</v>
      </c>
      <c r="V88" s="10">
        <v>1390751</v>
      </c>
      <c r="W88" s="10">
        <v>198276</v>
      </c>
      <c r="X88" s="10">
        <v>9784420</v>
      </c>
      <c r="Y88" s="10">
        <v>-2332618</v>
      </c>
      <c r="Z88" s="10">
        <v>5058789</v>
      </c>
      <c r="AA88" s="10">
        <v>294168</v>
      </c>
      <c r="AB88" s="10">
        <v>1354786</v>
      </c>
      <c r="AC88" s="10">
        <v>8104616</v>
      </c>
      <c r="AD88" s="10">
        <v>22565821</v>
      </c>
      <c r="AE88" s="10">
        <v>6823380</v>
      </c>
      <c r="AF88" s="10">
        <v>7159562</v>
      </c>
      <c r="AG88" s="10">
        <v>1951966</v>
      </c>
      <c r="AH88" s="11">
        <f>SUM(B88:AG88)</f>
        <v>93927413.109712496</v>
      </c>
    </row>
    <row r="89" spans="1:34" x14ac:dyDescent="0.25">
      <c r="A89" s="10" t="s">
        <v>236</v>
      </c>
      <c r="B89" s="10">
        <v>1075101</v>
      </c>
      <c r="C89" s="10">
        <v>2821094</v>
      </c>
      <c r="D89" s="10">
        <v>781279</v>
      </c>
      <c r="E89" s="10">
        <v>15351667</v>
      </c>
      <c r="F89" s="10"/>
      <c r="G89" s="10">
        <v>5966949</v>
      </c>
      <c r="H89" s="10">
        <v>6563071</v>
      </c>
      <c r="I89" s="10">
        <v>1432180.34</v>
      </c>
      <c r="J89" s="10">
        <v>498628</v>
      </c>
      <c r="K89" s="10">
        <v>5173370</v>
      </c>
      <c r="L89" s="10">
        <v>7251981</v>
      </c>
      <c r="M89" s="10">
        <v>13418268</v>
      </c>
      <c r="N89" s="10">
        <v>24781322</v>
      </c>
      <c r="O89" s="10">
        <v>12720095</v>
      </c>
      <c r="P89" s="10">
        <v>937762</v>
      </c>
      <c r="Q89" s="10">
        <v>2433487</v>
      </c>
      <c r="R89" s="10">
        <v>1807046</v>
      </c>
      <c r="S89" s="10">
        <v>2000172</v>
      </c>
      <c r="T89" s="10">
        <v>27784432.251162499</v>
      </c>
      <c r="U89" s="10">
        <v>64147</v>
      </c>
      <c r="V89" s="10">
        <v>4457039</v>
      </c>
      <c r="W89" s="10">
        <v>761846</v>
      </c>
      <c r="X89" s="10">
        <v>11113860</v>
      </c>
      <c r="Y89" s="10">
        <v>4315947</v>
      </c>
      <c r="Z89" s="10">
        <v>6684747</v>
      </c>
      <c r="AA89" s="10">
        <v>3159766</v>
      </c>
      <c r="AB89" s="10">
        <v>20496241</v>
      </c>
      <c r="AC89" s="10">
        <v>13414387</v>
      </c>
      <c r="AD89" s="10">
        <v>74613189</v>
      </c>
      <c r="AE89" s="10">
        <v>26013633</v>
      </c>
      <c r="AF89" s="10">
        <v>30437255</v>
      </c>
      <c r="AG89" s="10">
        <v>3059252</v>
      </c>
      <c r="AH89" s="11">
        <f>SUM(B89:AG89)</f>
        <v>331389213.5911625</v>
      </c>
    </row>
    <row r="90" spans="1:34" ht="30" customHeight="1" x14ac:dyDescent="0.25">
      <c r="A90" s="90" t="s">
        <v>307</v>
      </c>
      <c r="B90" s="10">
        <v>360856</v>
      </c>
      <c r="C90" s="10">
        <v>-440571</v>
      </c>
      <c r="D90" s="10">
        <v>5887819</v>
      </c>
      <c r="E90" s="10">
        <v>648965</v>
      </c>
      <c r="F90" s="10"/>
      <c r="G90" s="10">
        <v>222664</v>
      </c>
      <c r="H90" s="10">
        <v>-1810428</v>
      </c>
      <c r="I90" s="10">
        <v>-117739.13</v>
      </c>
      <c r="J90" s="10">
        <v>-13</v>
      </c>
      <c r="K90" s="10">
        <v>-121019</v>
      </c>
      <c r="L90" s="10">
        <v>388333</v>
      </c>
      <c r="M90" s="10">
        <f>-41012853+43253664</f>
        <v>2240811</v>
      </c>
      <c r="N90" s="10">
        <v>-2276396</v>
      </c>
      <c r="O90" s="10">
        <v>-358361</v>
      </c>
      <c r="P90" s="10">
        <v>-215070</v>
      </c>
      <c r="Q90" s="10">
        <v>-619802</v>
      </c>
      <c r="R90" s="10">
        <v>-216962</v>
      </c>
      <c r="S90" s="10">
        <v>319817</v>
      </c>
      <c r="T90" s="10">
        <v>143497.68870500024</v>
      </c>
      <c r="U90" s="10">
        <v>-66002</v>
      </c>
      <c r="V90" s="10">
        <v>-350798</v>
      </c>
      <c r="W90" s="10">
        <v>84934</v>
      </c>
      <c r="X90" s="10">
        <v>1173252</v>
      </c>
      <c r="Y90" s="10">
        <v>939044</v>
      </c>
      <c r="Z90" s="10">
        <v>2653561</v>
      </c>
      <c r="AA90" s="10">
        <v>-1701777</v>
      </c>
      <c r="AB90" s="10">
        <v>-1933548</v>
      </c>
      <c r="AC90" s="10">
        <v>1722174</v>
      </c>
      <c r="AD90" s="10">
        <v>6934604</v>
      </c>
      <c r="AE90" s="10">
        <v>324989</v>
      </c>
      <c r="AF90" s="10">
        <v>395450</v>
      </c>
      <c r="AG90" s="10">
        <v>-158641</v>
      </c>
      <c r="AH90" s="11"/>
    </row>
    <row r="91" spans="1:34" x14ac:dyDescent="0.25">
      <c r="A91" s="10" t="s">
        <v>237</v>
      </c>
      <c r="B91" s="10">
        <v>714245</v>
      </c>
      <c r="C91" s="10">
        <v>2380523</v>
      </c>
      <c r="D91" s="10">
        <v>6669098</v>
      </c>
      <c r="E91" s="10">
        <v>18151317</v>
      </c>
      <c r="F91" s="10"/>
      <c r="G91" s="10">
        <v>4696789</v>
      </c>
      <c r="H91" s="10">
        <v>8373499</v>
      </c>
      <c r="I91" s="10">
        <v>1314441.21</v>
      </c>
      <c r="J91" s="10">
        <v>498641</v>
      </c>
      <c r="K91" s="10">
        <v>5294388</v>
      </c>
      <c r="L91" s="10">
        <v>6863648</v>
      </c>
      <c r="M91" s="10">
        <v>15659079</v>
      </c>
      <c r="N91" s="10">
        <v>27057718</v>
      </c>
      <c r="O91" s="10">
        <v>13078456</v>
      </c>
      <c r="P91" s="10">
        <v>1152832</v>
      </c>
      <c r="Q91" s="10">
        <v>3053288</v>
      </c>
      <c r="R91" s="10">
        <v>2024008</v>
      </c>
      <c r="S91" s="10">
        <v>1680355</v>
      </c>
      <c r="T91" s="10">
        <v>27640934.562457498</v>
      </c>
      <c r="U91" s="10">
        <v>202925</v>
      </c>
      <c r="V91" s="10">
        <v>3414833</v>
      </c>
      <c r="W91" s="10">
        <v>676911</v>
      </c>
      <c r="X91" s="10">
        <v>10359085</v>
      </c>
      <c r="Y91" s="10">
        <v>5254991</v>
      </c>
      <c r="Z91" s="10">
        <v>9338308</v>
      </c>
      <c r="AA91" s="10">
        <v>4861542</v>
      </c>
      <c r="AB91" s="10">
        <v>22429789</v>
      </c>
      <c r="AC91" s="10">
        <v>15136561</v>
      </c>
      <c r="AD91" s="10">
        <v>67678584</v>
      </c>
      <c r="AE91" s="10">
        <v>25688644</v>
      </c>
      <c r="AF91" s="10">
        <v>30832705</v>
      </c>
      <c r="AG91" s="10">
        <v>2900611</v>
      </c>
      <c r="AH91" s="11">
        <f>SUM(B91:AG91)</f>
        <v>345078748.77245748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5.140625" style="7" customWidth="1"/>
    <col min="2" max="34" width="16" style="7" customWidth="1"/>
    <col min="35" max="16384" width="9.140625" style="7"/>
  </cols>
  <sheetData>
    <row r="1" spans="1:34" ht="18.75" x14ac:dyDescent="0.3">
      <c r="A1" s="5" t="s">
        <v>234</v>
      </c>
    </row>
    <row r="2" spans="1:34" x14ac:dyDescent="0.25">
      <c r="A2" s="18" t="s">
        <v>40</v>
      </c>
    </row>
    <row r="3" spans="1:34" x14ac:dyDescent="0.25">
      <c r="A3" s="35" t="s">
        <v>224</v>
      </c>
    </row>
    <row r="4" spans="1:34" x14ac:dyDescent="0.25">
      <c r="A4" s="3" t="s">
        <v>0</v>
      </c>
      <c r="B4" s="89" t="s">
        <v>1</v>
      </c>
      <c r="C4" s="89" t="s">
        <v>290</v>
      </c>
      <c r="D4" s="89" t="s">
        <v>3</v>
      </c>
      <c r="E4" s="89" t="s">
        <v>4</v>
      </c>
      <c r="F4" s="89" t="s">
        <v>5</v>
      </c>
      <c r="G4" s="89" t="s">
        <v>291</v>
      </c>
      <c r="H4" s="89" t="s">
        <v>292</v>
      </c>
      <c r="I4" s="89" t="s">
        <v>8</v>
      </c>
      <c r="J4" s="89" t="s">
        <v>7</v>
      </c>
      <c r="K4" s="89" t="s">
        <v>9</v>
      </c>
      <c r="L4" s="89" t="s">
        <v>288</v>
      </c>
      <c r="M4" s="89" t="s">
        <v>11</v>
      </c>
      <c r="N4" s="89" t="s">
        <v>12</v>
      </c>
      <c r="O4" s="89" t="s">
        <v>13</v>
      </c>
      <c r="P4" s="89" t="s">
        <v>14</v>
      </c>
      <c r="Q4" s="89" t="s">
        <v>15</v>
      </c>
      <c r="R4" s="89" t="s">
        <v>16</v>
      </c>
      <c r="S4" s="89" t="s">
        <v>293</v>
      </c>
      <c r="T4" s="92" t="s">
        <v>17</v>
      </c>
      <c r="U4" s="92" t="s">
        <v>294</v>
      </c>
      <c r="V4" s="92" t="s">
        <v>313</v>
      </c>
      <c r="W4" s="89" t="s">
        <v>289</v>
      </c>
      <c r="X4" s="89" t="s">
        <v>295</v>
      </c>
      <c r="Y4" s="89" t="s">
        <v>20</v>
      </c>
      <c r="Z4" s="89" t="s">
        <v>21</v>
      </c>
      <c r="AA4" s="89" t="s">
        <v>22</v>
      </c>
      <c r="AB4" s="89" t="s">
        <v>23</v>
      </c>
      <c r="AC4" s="89" t="s">
        <v>24</v>
      </c>
      <c r="AD4" s="88" t="s">
        <v>296</v>
      </c>
      <c r="AE4" s="88" t="s">
        <v>297</v>
      </c>
      <c r="AF4" s="88" t="s">
        <v>25</v>
      </c>
      <c r="AG4" s="89" t="s">
        <v>26</v>
      </c>
      <c r="AH4" s="67" t="s">
        <v>27</v>
      </c>
    </row>
    <row r="5" spans="1:34" x14ac:dyDescent="0.25">
      <c r="A5" s="28" t="s">
        <v>235</v>
      </c>
      <c r="B5" s="10"/>
      <c r="C5" s="10"/>
      <c r="D5" s="10"/>
      <c r="E5" s="10">
        <v>995703</v>
      </c>
      <c r="F5" s="10">
        <v>181879</v>
      </c>
      <c r="G5" s="10"/>
      <c r="H5" s="10">
        <v>171464</v>
      </c>
      <c r="I5" s="10"/>
      <c r="J5" s="10">
        <v>2459</v>
      </c>
      <c r="K5" s="10">
        <v>384374</v>
      </c>
      <c r="L5" s="10">
        <v>135833</v>
      </c>
      <c r="M5" s="10">
        <v>863026</v>
      </c>
      <c r="N5" s="10">
        <v>1378678</v>
      </c>
      <c r="O5" s="10">
        <v>926504</v>
      </c>
      <c r="P5" s="10">
        <v>25225</v>
      </c>
      <c r="Q5" s="10">
        <v>73191</v>
      </c>
      <c r="R5" s="10">
        <v>90519</v>
      </c>
      <c r="S5" s="10"/>
      <c r="T5" s="10">
        <v>853070.06099999999</v>
      </c>
      <c r="U5" s="10">
        <v>98</v>
      </c>
      <c r="V5" s="10"/>
      <c r="W5" s="10">
        <v>1369</v>
      </c>
      <c r="X5" s="10">
        <v>338530</v>
      </c>
      <c r="Y5" s="10">
        <v>267606</v>
      </c>
      <c r="Z5" s="10">
        <v>321409</v>
      </c>
      <c r="AA5" s="10">
        <v>13686</v>
      </c>
      <c r="AB5" s="10"/>
      <c r="AC5" s="10">
        <v>599367</v>
      </c>
      <c r="AD5" s="10">
        <v>3284339</v>
      </c>
      <c r="AE5" s="10">
        <v>1227006</v>
      </c>
      <c r="AF5" s="10">
        <v>1407198</v>
      </c>
      <c r="AG5" s="10">
        <v>114405</v>
      </c>
      <c r="AH5" s="10">
        <f t="shared" ref="AH5:AH11" si="0">SUM(B5:AG5)</f>
        <v>13656938.061000001</v>
      </c>
    </row>
    <row r="6" spans="1:34" x14ac:dyDescent="0.25">
      <c r="A6" s="28" t="s">
        <v>286</v>
      </c>
      <c r="B6" s="10">
        <v>114</v>
      </c>
      <c r="C6" s="10"/>
      <c r="D6" s="10"/>
      <c r="E6" s="10">
        <v>3473707</v>
      </c>
      <c r="F6" s="10">
        <v>593452</v>
      </c>
      <c r="G6" s="10"/>
      <c r="H6" s="10">
        <v>578353</v>
      </c>
      <c r="I6" s="10"/>
      <c r="J6" s="10">
        <v>26693</v>
      </c>
      <c r="K6" s="10">
        <v>1491394</v>
      </c>
      <c r="L6" s="10">
        <v>374884</v>
      </c>
      <c r="M6" s="10">
        <v>13825164</v>
      </c>
      <c r="N6" s="10">
        <v>24506266</v>
      </c>
      <c r="O6" s="10">
        <v>901919</v>
      </c>
      <c r="P6" s="10">
        <v>62343</v>
      </c>
      <c r="Q6" s="10">
        <v>712003</v>
      </c>
      <c r="R6" s="10">
        <v>1705551</v>
      </c>
      <c r="S6" s="10"/>
      <c r="T6" s="10">
        <v>14372843.215000002</v>
      </c>
      <c r="U6" s="10">
        <v>53303</v>
      </c>
      <c r="V6" s="10"/>
      <c r="W6" s="10">
        <v>38895</v>
      </c>
      <c r="X6" s="10">
        <v>1917089</v>
      </c>
      <c r="Y6" s="10">
        <v>2171954</v>
      </c>
      <c r="Z6" s="10">
        <v>2496613</v>
      </c>
      <c r="AA6" s="10">
        <v>177619</v>
      </c>
      <c r="AB6" s="10"/>
      <c r="AC6" s="10">
        <v>1727391</v>
      </c>
      <c r="AD6" s="10">
        <v>65489890</v>
      </c>
      <c r="AE6" s="10">
        <v>28032928</v>
      </c>
      <c r="AF6" s="10">
        <v>32808454</v>
      </c>
      <c r="AG6" s="10">
        <v>503032</v>
      </c>
      <c r="AH6" s="10">
        <f t="shared" si="0"/>
        <v>198041854.215</v>
      </c>
    </row>
    <row r="7" spans="1:34" x14ac:dyDescent="0.25">
      <c r="A7" s="28" t="s">
        <v>285</v>
      </c>
      <c r="B7" s="10">
        <v>47</v>
      </c>
      <c r="C7" s="10"/>
      <c r="D7" s="10"/>
      <c r="E7" s="10">
        <v>10477199</v>
      </c>
      <c r="F7" s="10">
        <v>471370</v>
      </c>
      <c r="G7" s="10"/>
      <c r="H7" s="10">
        <v>468243</v>
      </c>
      <c r="I7" s="10"/>
      <c r="J7" s="10">
        <v>153655</v>
      </c>
      <c r="K7" s="10">
        <v>1029345</v>
      </c>
      <c r="L7" s="10">
        <v>335952</v>
      </c>
      <c r="M7" s="10">
        <v>-13075525</v>
      </c>
      <c r="N7" s="10">
        <v>22398704</v>
      </c>
      <c r="O7" s="10">
        <v>848330</v>
      </c>
      <c r="P7" s="10">
        <v>92309</v>
      </c>
      <c r="Q7" s="10">
        <v>696316</v>
      </c>
      <c r="R7" s="10">
        <v>-2009122</v>
      </c>
      <c r="S7" s="10"/>
      <c r="T7" s="10">
        <v>13097129.311000001</v>
      </c>
      <c r="U7" s="10">
        <v>-46038</v>
      </c>
      <c r="V7" s="10"/>
      <c r="W7" s="10">
        <v>41250</v>
      </c>
      <c r="X7" s="10">
        <v>1665221</v>
      </c>
      <c r="Y7" s="10">
        <v>-2298488</v>
      </c>
      <c r="Z7" s="10">
        <v>1848501</v>
      </c>
      <c r="AA7" s="10">
        <v>175709</v>
      </c>
      <c r="AB7" s="10"/>
      <c r="AC7" s="10">
        <v>1216383</v>
      </c>
      <c r="AD7" s="10">
        <v>61537555</v>
      </c>
      <c r="AE7" s="10">
        <v>25714585</v>
      </c>
      <c r="AF7" s="10">
        <v>30315116</v>
      </c>
      <c r="AG7" s="10">
        <v>497615</v>
      </c>
      <c r="AH7" s="10">
        <f t="shared" si="0"/>
        <v>155651361.31099999</v>
      </c>
    </row>
    <row r="8" spans="1:34" x14ac:dyDescent="0.25">
      <c r="A8" s="28" t="s">
        <v>310</v>
      </c>
      <c r="B8" s="10"/>
      <c r="C8" s="10"/>
      <c r="D8" s="10"/>
      <c r="E8" s="10">
        <v>-6007789</v>
      </c>
      <c r="F8" s="10"/>
      <c r="G8" s="10"/>
      <c r="H8" s="10">
        <v>281574</v>
      </c>
      <c r="I8" s="10"/>
      <c r="J8" s="10">
        <v>-124503</v>
      </c>
      <c r="K8" s="10"/>
      <c r="L8" s="10"/>
      <c r="M8" s="10">
        <v>1612665</v>
      </c>
      <c r="N8" s="10">
        <v>3486239</v>
      </c>
      <c r="O8" s="10">
        <v>980093</v>
      </c>
      <c r="P8" s="10">
        <v>-4741</v>
      </c>
      <c r="Q8" s="10">
        <v>88878</v>
      </c>
      <c r="R8" s="10">
        <v>-213052</v>
      </c>
      <c r="S8" s="10"/>
      <c r="T8" s="10"/>
      <c r="U8" s="10">
        <v>7363</v>
      </c>
      <c r="V8" s="10"/>
      <c r="W8" s="10">
        <v>-986</v>
      </c>
      <c r="X8" s="10"/>
      <c r="Y8" s="10">
        <v>141072</v>
      </c>
      <c r="Z8" s="10"/>
      <c r="AA8" s="10"/>
      <c r="AB8" s="10"/>
      <c r="AC8" s="10">
        <v>1110375</v>
      </c>
      <c r="AD8" s="10">
        <v>7236673</v>
      </c>
      <c r="AE8" s="10">
        <v>3545348</v>
      </c>
      <c r="AF8" s="10">
        <v>3900536</v>
      </c>
      <c r="AG8" s="10">
        <v>119822</v>
      </c>
      <c r="AH8" s="10">
        <f t="shared" si="0"/>
        <v>16159567</v>
      </c>
    </row>
    <row r="9" spans="1:34" x14ac:dyDescent="0.25">
      <c r="A9" s="28" t="s">
        <v>311</v>
      </c>
      <c r="B9" s="10"/>
      <c r="C9" s="10"/>
      <c r="D9" s="10"/>
      <c r="E9" s="10">
        <v>6154</v>
      </c>
      <c r="F9" s="10">
        <v>22406</v>
      </c>
      <c r="G9" s="10"/>
      <c r="H9" s="10">
        <v>58</v>
      </c>
      <c r="I9" s="10"/>
      <c r="J9" s="10">
        <v>1671</v>
      </c>
      <c r="K9" s="10">
        <v>44581</v>
      </c>
      <c r="L9" s="10">
        <v>81852</v>
      </c>
      <c r="M9" s="10">
        <v>123208</v>
      </c>
      <c r="N9" s="10">
        <v>29658</v>
      </c>
      <c r="O9" s="10">
        <v>28861</v>
      </c>
      <c r="P9" s="10">
        <v>16</v>
      </c>
      <c r="Q9" s="10">
        <v>31</v>
      </c>
      <c r="R9" s="10">
        <v>104337</v>
      </c>
      <c r="S9" s="10"/>
      <c r="T9" s="10">
        <v>199585.06200000001</v>
      </c>
      <c r="U9" s="10">
        <v>3</v>
      </c>
      <c r="V9" s="10"/>
      <c r="W9" s="10">
        <v>1</v>
      </c>
      <c r="X9" s="10">
        <v>5587</v>
      </c>
      <c r="Y9" s="10">
        <v>59728</v>
      </c>
      <c r="Z9" s="10">
        <v>23</v>
      </c>
      <c r="AA9" s="10">
        <v>30</v>
      </c>
      <c r="AB9" s="10"/>
      <c r="AC9" s="10">
        <v>85428</v>
      </c>
      <c r="AD9" s="10">
        <v>1563260</v>
      </c>
      <c r="AE9" s="10">
        <v>-165728</v>
      </c>
      <c r="AF9" s="10">
        <v>108817</v>
      </c>
      <c r="AG9" s="10">
        <v>15</v>
      </c>
      <c r="AH9" s="10">
        <f t="shared" si="0"/>
        <v>2299582.0619999999</v>
      </c>
    </row>
    <row r="10" spans="1:34" x14ac:dyDescent="0.25">
      <c r="A10" s="28" t="s">
        <v>312</v>
      </c>
      <c r="B10" s="10"/>
      <c r="C10" s="10"/>
      <c r="D10" s="10"/>
      <c r="E10" s="10">
        <v>661507</v>
      </c>
      <c r="F10" s="10">
        <v>137660</v>
      </c>
      <c r="G10" s="10"/>
      <c r="H10" s="10">
        <v>83553</v>
      </c>
      <c r="I10" s="10"/>
      <c r="J10" s="10">
        <v>-129139</v>
      </c>
      <c r="K10" s="10">
        <v>301679</v>
      </c>
      <c r="L10" s="10">
        <v>184935</v>
      </c>
      <c r="M10" s="10">
        <v>-760558</v>
      </c>
      <c r="N10" s="10">
        <v>990756</v>
      </c>
      <c r="O10" s="10">
        <v>793869</v>
      </c>
      <c r="P10" s="10">
        <v>17303</v>
      </c>
      <c r="Q10" s="10">
        <v>49862</v>
      </c>
      <c r="R10" s="10">
        <v>-168374</v>
      </c>
      <c r="S10" s="10"/>
      <c r="T10" s="10">
        <v>-1037829.4570000001</v>
      </c>
      <c r="U10" s="10">
        <v>-16</v>
      </c>
      <c r="V10" s="10"/>
      <c r="W10" s="10">
        <v>1071</v>
      </c>
      <c r="X10" s="10">
        <v>240478</v>
      </c>
      <c r="Y10" s="10">
        <v>-239542</v>
      </c>
      <c r="Z10" s="10">
        <v>189287</v>
      </c>
      <c r="AA10" s="10">
        <v>6951</v>
      </c>
      <c r="AB10" s="10"/>
      <c r="AC10" s="10">
        <v>520434</v>
      </c>
      <c r="AD10" s="10">
        <v>355477</v>
      </c>
      <c r="AE10" s="10">
        <v>2961128</v>
      </c>
      <c r="AF10" s="10">
        <v>724246</v>
      </c>
      <c r="AG10" s="10">
        <v>58768</v>
      </c>
      <c r="AH10" s="10">
        <f t="shared" si="0"/>
        <v>5943505.5429999996</v>
      </c>
    </row>
    <row r="11" spans="1:34" x14ac:dyDescent="0.25">
      <c r="A11" s="28" t="s">
        <v>280</v>
      </c>
      <c r="B11" s="10">
        <v>67</v>
      </c>
      <c r="C11" s="10"/>
      <c r="D11" s="10"/>
      <c r="E11" s="10">
        <v>470100</v>
      </c>
      <c r="F11" s="10">
        <v>188707</v>
      </c>
      <c r="G11" s="10"/>
      <c r="H11" s="10">
        <v>198079</v>
      </c>
      <c r="I11" s="10"/>
      <c r="J11" s="10">
        <v>6307</v>
      </c>
      <c r="K11" s="10">
        <v>589326</v>
      </c>
      <c r="L11" s="10">
        <v>71682</v>
      </c>
      <c r="M11" s="10">
        <v>366196</v>
      </c>
      <c r="N11" s="10">
        <v>1058840</v>
      </c>
      <c r="O11" s="10">
        <v>215085</v>
      </c>
      <c r="P11" s="10">
        <v>-22028</v>
      </c>
      <c r="Q11" s="10">
        <v>12103</v>
      </c>
      <c r="R11" s="10">
        <v>24824</v>
      </c>
      <c r="S11" s="10"/>
      <c r="T11" s="10">
        <v>3366198.4840000011</v>
      </c>
      <c r="U11" s="10">
        <v>5361</v>
      </c>
      <c r="V11" s="10"/>
      <c r="W11" s="10">
        <v>4846</v>
      </c>
      <c r="X11" s="10">
        <v>355507</v>
      </c>
      <c r="Y11" s="10">
        <v>62820</v>
      </c>
      <c r="Z11" s="10">
        <v>780257</v>
      </c>
      <c r="AA11" s="10">
        <v>8675</v>
      </c>
      <c r="AB11" s="10"/>
      <c r="AC11" s="10">
        <v>675369</v>
      </c>
      <c r="AD11" s="10">
        <v>3128244</v>
      </c>
      <c r="AE11" s="10">
        <v>418493</v>
      </c>
      <c r="AF11" s="10">
        <v>3285107</v>
      </c>
      <c r="AG11" s="10">
        <v>61069</v>
      </c>
      <c r="AH11" s="10">
        <f t="shared" si="0"/>
        <v>15331234.484000001</v>
      </c>
    </row>
    <row r="12" spans="1:34" x14ac:dyDescent="0.25">
      <c r="A12" s="18"/>
    </row>
    <row r="13" spans="1:34" x14ac:dyDescent="0.25">
      <c r="A13" s="35" t="s">
        <v>225</v>
      </c>
    </row>
    <row r="14" spans="1:34" x14ac:dyDescent="0.25">
      <c r="A14" s="3" t="s">
        <v>0</v>
      </c>
      <c r="B14" s="89" t="s">
        <v>1</v>
      </c>
      <c r="C14" s="89" t="s">
        <v>290</v>
      </c>
      <c r="D14" s="89" t="s">
        <v>3</v>
      </c>
      <c r="E14" s="89" t="s">
        <v>4</v>
      </c>
      <c r="F14" s="89" t="s">
        <v>5</v>
      </c>
      <c r="G14" s="89" t="s">
        <v>291</v>
      </c>
      <c r="H14" s="89" t="s">
        <v>292</v>
      </c>
      <c r="I14" s="89" t="s">
        <v>8</v>
      </c>
      <c r="J14" s="89" t="s">
        <v>7</v>
      </c>
      <c r="K14" s="89" t="s">
        <v>9</v>
      </c>
      <c r="L14" s="89" t="s">
        <v>288</v>
      </c>
      <c r="M14" s="89" t="s">
        <v>11</v>
      </c>
      <c r="N14" s="89" t="s">
        <v>12</v>
      </c>
      <c r="O14" s="89" t="s">
        <v>13</v>
      </c>
      <c r="P14" s="89" t="s">
        <v>14</v>
      </c>
      <c r="Q14" s="89" t="s">
        <v>15</v>
      </c>
      <c r="R14" s="89" t="s">
        <v>16</v>
      </c>
      <c r="S14" s="89" t="s">
        <v>293</v>
      </c>
      <c r="T14" s="92" t="s">
        <v>17</v>
      </c>
      <c r="U14" s="92" t="s">
        <v>294</v>
      </c>
      <c r="V14" s="92" t="s">
        <v>313</v>
      </c>
      <c r="W14" s="89" t="s">
        <v>289</v>
      </c>
      <c r="X14" s="89" t="s">
        <v>295</v>
      </c>
      <c r="Y14" s="89" t="s">
        <v>20</v>
      </c>
      <c r="Z14" s="89" t="s">
        <v>21</v>
      </c>
      <c r="AA14" s="89" t="s">
        <v>22</v>
      </c>
      <c r="AB14" s="89" t="s">
        <v>23</v>
      </c>
      <c r="AC14" s="89" t="s">
        <v>24</v>
      </c>
      <c r="AD14" s="88" t="s">
        <v>296</v>
      </c>
      <c r="AE14" s="88" t="s">
        <v>297</v>
      </c>
      <c r="AF14" s="88" t="s">
        <v>25</v>
      </c>
      <c r="AG14" s="89" t="s">
        <v>26</v>
      </c>
      <c r="AH14" s="67" t="s">
        <v>27</v>
      </c>
    </row>
    <row r="15" spans="1:34" x14ac:dyDescent="0.25">
      <c r="A15" s="28" t="s">
        <v>235</v>
      </c>
      <c r="B15" s="10"/>
      <c r="C15" s="10"/>
      <c r="D15" s="10"/>
      <c r="E15" s="10">
        <v>124155</v>
      </c>
      <c r="F15" s="10">
        <v>78431</v>
      </c>
      <c r="G15" s="10"/>
      <c r="H15" s="10">
        <v>98593</v>
      </c>
      <c r="I15" s="10"/>
      <c r="J15" s="10">
        <v>3609</v>
      </c>
      <c r="K15" s="10">
        <v>113861</v>
      </c>
      <c r="L15" s="10">
        <v>2324</v>
      </c>
      <c r="M15" s="10">
        <f>6871+229943</f>
        <v>236814</v>
      </c>
      <c r="N15" s="10">
        <v>1191151</v>
      </c>
      <c r="O15" s="10">
        <v>211917</v>
      </c>
      <c r="P15" s="10">
        <v>40</v>
      </c>
      <c r="Q15" s="10">
        <v>46413</v>
      </c>
      <c r="R15" s="10">
        <v>18018</v>
      </c>
      <c r="S15" s="10"/>
      <c r="T15" s="10">
        <v>375443.52</v>
      </c>
      <c r="U15" s="10"/>
      <c r="V15" s="10"/>
      <c r="W15" s="10"/>
      <c r="X15" s="10">
        <v>113551</v>
      </c>
      <c r="Y15" s="10">
        <v>42761</v>
      </c>
      <c r="Z15" s="10">
        <v>39082</v>
      </c>
      <c r="AA15" s="10">
        <v>1164</v>
      </c>
      <c r="AB15" s="10"/>
      <c r="AC15" s="10">
        <v>599771</v>
      </c>
      <c r="AD15" s="10">
        <v>408536</v>
      </c>
      <c r="AE15" s="10">
        <v>205474</v>
      </c>
      <c r="AF15" s="10">
        <v>357823</v>
      </c>
      <c r="AG15" s="10">
        <v>31526</v>
      </c>
      <c r="AH15" s="10">
        <f t="shared" ref="AH15:AH21" si="1">SUM(B15:AG15)</f>
        <v>4300457.5199999996</v>
      </c>
    </row>
    <row r="16" spans="1:34" x14ac:dyDescent="0.25">
      <c r="A16" s="28" t="s">
        <v>286</v>
      </c>
      <c r="B16" s="10"/>
      <c r="C16" s="10"/>
      <c r="D16" s="10"/>
      <c r="E16" s="10">
        <v>1904897</v>
      </c>
      <c r="F16" s="10">
        <v>435346</v>
      </c>
      <c r="G16" s="10"/>
      <c r="H16" s="10">
        <v>127600</v>
      </c>
      <c r="I16" s="10"/>
      <c r="J16" s="10">
        <v>29507</v>
      </c>
      <c r="K16" s="10">
        <v>340563</v>
      </c>
      <c r="L16" s="10">
        <v>12914</v>
      </c>
      <c r="M16" s="10">
        <f>1047290+2563639</f>
        <v>3610929</v>
      </c>
      <c r="N16" s="10">
        <v>7562955</v>
      </c>
      <c r="O16" s="10">
        <v>460615</v>
      </c>
      <c r="P16" s="10">
        <v>67</v>
      </c>
      <c r="Q16" s="10">
        <v>138645</v>
      </c>
      <c r="R16" s="10">
        <v>556656</v>
      </c>
      <c r="S16" s="10"/>
      <c r="T16" s="10">
        <v>1907188.287</v>
      </c>
      <c r="U16" s="10"/>
      <c r="V16" s="10"/>
      <c r="W16" s="10">
        <v>764</v>
      </c>
      <c r="X16" s="10">
        <v>273216</v>
      </c>
      <c r="Y16" s="10">
        <v>359441</v>
      </c>
      <c r="Z16" s="10">
        <v>394971</v>
      </c>
      <c r="AA16" s="10">
        <v>8255</v>
      </c>
      <c r="AB16" s="10"/>
      <c r="AC16" s="10">
        <v>2324494</v>
      </c>
      <c r="AD16" s="10">
        <v>10191787</v>
      </c>
      <c r="AE16" s="10">
        <v>7033112</v>
      </c>
      <c r="AF16" s="10">
        <v>8681990</v>
      </c>
      <c r="AG16" s="10">
        <f>429+39393</f>
        <v>39822</v>
      </c>
      <c r="AH16" s="10">
        <f t="shared" si="1"/>
        <v>46395734.287</v>
      </c>
    </row>
    <row r="17" spans="1:34" x14ac:dyDescent="0.25">
      <c r="A17" s="28" t="s">
        <v>285</v>
      </c>
      <c r="B17" s="10"/>
      <c r="C17" s="10"/>
      <c r="D17" s="10"/>
      <c r="E17" s="10">
        <v>1638591</v>
      </c>
      <c r="F17" s="10">
        <v>412121</v>
      </c>
      <c r="G17" s="10"/>
      <c r="H17" s="10">
        <v>100467</v>
      </c>
      <c r="I17" s="10"/>
      <c r="J17" s="10">
        <v>31751</v>
      </c>
      <c r="K17" s="10">
        <v>404461</v>
      </c>
      <c r="L17" s="10">
        <v>6646</v>
      </c>
      <c r="M17" s="10">
        <f>-1051720-2436371</f>
        <v>-3488091</v>
      </c>
      <c r="N17" s="10">
        <v>8094105</v>
      </c>
      <c r="O17" s="10">
        <v>412669</v>
      </c>
      <c r="P17" s="10">
        <v>14</v>
      </c>
      <c r="Q17" s="10">
        <v>112742</v>
      </c>
      <c r="R17" s="10">
        <v>-457843</v>
      </c>
      <c r="S17" s="10"/>
      <c r="T17" s="10">
        <v>2035735.7189999998</v>
      </c>
      <c r="U17" s="10"/>
      <c r="V17" s="10"/>
      <c r="W17" s="10">
        <v>728</v>
      </c>
      <c r="X17" s="10">
        <v>254590</v>
      </c>
      <c r="Y17" s="10">
        <v>-357391</v>
      </c>
      <c r="Z17" s="10">
        <v>285605</v>
      </c>
      <c r="AA17" s="10">
        <v>8690</v>
      </c>
      <c r="AB17" s="10"/>
      <c r="AC17" s="10">
        <v>2061419</v>
      </c>
      <c r="AD17" s="10">
        <v>9349141</v>
      </c>
      <c r="AE17" s="10">
        <v>6362730</v>
      </c>
      <c r="AF17" s="10">
        <v>8581367</v>
      </c>
      <c r="AG17" s="10">
        <f>406+37871</f>
        <v>38277</v>
      </c>
      <c r="AH17" s="10">
        <f t="shared" si="1"/>
        <v>35888524.718999997</v>
      </c>
    </row>
    <row r="18" spans="1:34" x14ac:dyDescent="0.25">
      <c r="A18" s="28" t="s">
        <v>310</v>
      </c>
      <c r="B18" s="10"/>
      <c r="C18" s="10"/>
      <c r="D18" s="10"/>
      <c r="E18" s="10">
        <v>390461</v>
      </c>
      <c r="F18" s="10"/>
      <c r="G18" s="10"/>
      <c r="H18" s="10">
        <v>125726</v>
      </c>
      <c r="I18" s="10"/>
      <c r="J18" s="10">
        <v>1365</v>
      </c>
      <c r="K18" s="10"/>
      <c r="L18" s="10"/>
      <c r="M18" s="10">
        <f>2442+357211</f>
        <v>359653</v>
      </c>
      <c r="N18" s="10">
        <v>660001</v>
      </c>
      <c r="O18" s="10">
        <v>259863</v>
      </c>
      <c r="P18" s="10">
        <v>93</v>
      </c>
      <c r="Q18" s="10">
        <v>72316</v>
      </c>
      <c r="R18" s="10">
        <v>116831</v>
      </c>
      <c r="S18" s="10"/>
      <c r="T18" s="10"/>
      <c r="U18" s="10"/>
      <c r="V18" s="10"/>
      <c r="W18" s="10">
        <v>36</v>
      </c>
      <c r="X18" s="10"/>
      <c r="Y18" s="10">
        <v>44811</v>
      </c>
      <c r="Z18" s="10"/>
      <c r="AA18" s="10"/>
      <c r="AB18" s="10"/>
      <c r="AC18" s="10">
        <v>862846</v>
      </c>
      <c r="AD18" s="10">
        <v>1251182</v>
      </c>
      <c r="AE18" s="10">
        <v>875856</v>
      </c>
      <c r="AF18" s="10">
        <v>458446</v>
      </c>
      <c r="AG18" s="10">
        <f>23+33048</f>
        <v>33071</v>
      </c>
      <c r="AH18" s="10">
        <f t="shared" si="1"/>
        <v>5512557</v>
      </c>
    </row>
    <row r="19" spans="1:34" x14ac:dyDescent="0.25">
      <c r="A19" s="28" t="s">
        <v>311</v>
      </c>
      <c r="B19" s="10"/>
      <c r="C19" s="10"/>
      <c r="D19" s="10"/>
      <c r="E19" s="10"/>
      <c r="F19" s="10">
        <v>7766</v>
      </c>
      <c r="G19" s="10"/>
      <c r="H19" s="10"/>
      <c r="I19" s="10"/>
      <c r="J19" s="10">
        <v>131</v>
      </c>
      <c r="K19" s="10">
        <v>1441</v>
      </c>
      <c r="L19" s="10"/>
      <c r="M19" s="10">
        <v>18741</v>
      </c>
      <c r="N19" s="10">
        <v>5429</v>
      </c>
      <c r="O19" s="10">
        <v>106</v>
      </c>
      <c r="P19" s="10"/>
      <c r="Q19" s="10"/>
      <c r="R19" s="10">
        <v>6108</v>
      </c>
      <c r="S19" s="10"/>
      <c r="T19" s="10">
        <v>5352.4970000000003</v>
      </c>
      <c r="U19" s="10"/>
      <c r="V19" s="10"/>
      <c r="W19" s="10"/>
      <c r="X19" s="10"/>
      <c r="Y19" s="10">
        <v>7</v>
      </c>
      <c r="Z19" s="10"/>
      <c r="AA19" s="10"/>
      <c r="AB19" s="10"/>
      <c r="AC19" s="10">
        <v>2643</v>
      </c>
      <c r="AD19" s="10">
        <v>32875</v>
      </c>
      <c r="AE19" s="10">
        <v>-33211</v>
      </c>
      <c r="AF19" s="10">
        <v>-11747</v>
      </c>
      <c r="AG19" s="10"/>
      <c r="AH19" s="10">
        <f t="shared" si="1"/>
        <v>35641.497000000003</v>
      </c>
    </row>
    <row r="20" spans="1:34" x14ac:dyDescent="0.25">
      <c r="A20" s="28" t="s">
        <v>312</v>
      </c>
      <c r="B20" s="10"/>
      <c r="C20" s="10"/>
      <c r="D20" s="10"/>
      <c r="E20" s="10">
        <v>25228</v>
      </c>
      <c r="F20" s="10">
        <v>22184</v>
      </c>
      <c r="G20" s="10"/>
      <c r="H20" s="10">
        <v>67207</v>
      </c>
      <c r="I20" s="10"/>
      <c r="J20" s="10">
        <v>-1617</v>
      </c>
      <c r="K20" s="10">
        <v>9191</v>
      </c>
      <c r="L20" s="10">
        <v>116</v>
      </c>
      <c r="M20" s="10">
        <f>-6823-164408</f>
        <v>-171231</v>
      </c>
      <c r="N20" s="10">
        <v>752621</v>
      </c>
      <c r="O20" s="10">
        <v>108393</v>
      </c>
      <c r="P20" s="10">
        <v>33</v>
      </c>
      <c r="Q20" s="10">
        <v>2246</v>
      </c>
      <c r="R20" s="10">
        <v>-21466</v>
      </c>
      <c r="S20" s="10"/>
      <c r="T20" s="10">
        <v>182805.89800000002</v>
      </c>
      <c r="U20" s="10"/>
      <c r="V20" s="10"/>
      <c r="W20" s="10"/>
      <c r="X20" s="10">
        <v>96265</v>
      </c>
      <c r="Y20" s="10">
        <v>-21417</v>
      </c>
      <c r="Z20" s="10">
        <v>2002</v>
      </c>
      <c r="AA20" s="10">
        <v>222</v>
      </c>
      <c r="AB20" s="10"/>
      <c r="AC20" s="10">
        <v>156330</v>
      </c>
      <c r="AD20" s="10">
        <v>450043</v>
      </c>
      <c r="AE20" s="10">
        <v>392105</v>
      </c>
      <c r="AF20" s="10">
        <v>109465</v>
      </c>
      <c r="AG20" s="10">
        <v>25384</v>
      </c>
      <c r="AH20" s="10">
        <f t="shared" si="1"/>
        <v>2186109.898</v>
      </c>
    </row>
    <row r="21" spans="1:34" x14ac:dyDescent="0.25">
      <c r="A21" s="28" t="s">
        <v>280</v>
      </c>
      <c r="B21" s="10"/>
      <c r="C21" s="10"/>
      <c r="D21" s="10"/>
      <c r="E21" s="10">
        <v>243737</v>
      </c>
      <c r="F21" s="10">
        <v>87238</v>
      </c>
      <c r="G21" s="10"/>
      <c r="H21" s="10">
        <v>58519</v>
      </c>
      <c r="I21" s="10"/>
      <c r="J21" s="10">
        <v>3113</v>
      </c>
      <c r="K21" s="10">
        <v>42213</v>
      </c>
      <c r="L21" s="10">
        <v>8476</v>
      </c>
      <c r="M21" s="10">
        <f>18+260362</f>
        <v>260380</v>
      </c>
      <c r="N21" s="10">
        <v>610170</v>
      </c>
      <c r="O21" s="10">
        <v>151576</v>
      </c>
      <c r="P21" s="10">
        <v>60</v>
      </c>
      <c r="Q21" s="10">
        <v>66154</v>
      </c>
      <c r="R21" s="10">
        <v>-3952</v>
      </c>
      <c r="S21" s="10"/>
      <c r="T21" s="10">
        <v>69443.687000000151</v>
      </c>
      <c r="U21" s="10"/>
      <c r="V21" s="10"/>
      <c r="W21" s="10">
        <v>34</v>
      </c>
      <c r="X21" s="10">
        <v>35912</v>
      </c>
      <c r="Y21" s="10">
        <v>29277</v>
      </c>
      <c r="Z21" s="10">
        <v>146446</v>
      </c>
      <c r="AA21" s="10">
        <v>507</v>
      </c>
      <c r="AB21" s="10"/>
      <c r="AC21" s="10">
        <v>709159</v>
      </c>
      <c r="AD21" s="10">
        <v>664173</v>
      </c>
      <c r="AE21" s="10">
        <v>450540</v>
      </c>
      <c r="AF21" s="10">
        <v>337234</v>
      </c>
      <c r="AG21" s="10">
        <f>23+7664</f>
        <v>7687</v>
      </c>
      <c r="AH21" s="10">
        <f t="shared" si="1"/>
        <v>3978096.6869999999</v>
      </c>
    </row>
    <row r="22" spans="1:34" x14ac:dyDescent="0.25">
      <c r="A22" s="18"/>
    </row>
    <row r="23" spans="1:34" x14ac:dyDescent="0.25">
      <c r="A23" s="35" t="s">
        <v>226</v>
      </c>
    </row>
    <row r="24" spans="1:34" x14ac:dyDescent="0.25">
      <c r="A24" s="3" t="s">
        <v>0</v>
      </c>
      <c r="B24" s="89" t="s">
        <v>1</v>
      </c>
      <c r="C24" s="89" t="s">
        <v>290</v>
      </c>
      <c r="D24" s="89" t="s">
        <v>3</v>
      </c>
      <c r="E24" s="89" t="s">
        <v>4</v>
      </c>
      <c r="F24" s="89" t="s">
        <v>5</v>
      </c>
      <c r="G24" s="89" t="s">
        <v>291</v>
      </c>
      <c r="H24" s="89" t="s">
        <v>292</v>
      </c>
      <c r="I24" s="89" t="s">
        <v>8</v>
      </c>
      <c r="J24" s="89" t="s">
        <v>7</v>
      </c>
      <c r="K24" s="89" t="s">
        <v>9</v>
      </c>
      <c r="L24" s="89" t="s">
        <v>288</v>
      </c>
      <c r="M24" s="89" t="s">
        <v>11</v>
      </c>
      <c r="N24" s="89" t="s">
        <v>12</v>
      </c>
      <c r="O24" s="89" t="s">
        <v>13</v>
      </c>
      <c r="P24" s="89" t="s">
        <v>14</v>
      </c>
      <c r="Q24" s="89" t="s">
        <v>15</v>
      </c>
      <c r="R24" s="89" t="s">
        <v>16</v>
      </c>
      <c r="S24" s="89" t="s">
        <v>293</v>
      </c>
      <c r="T24" s="92" t="s">
        <v>17</v>
      </c>
      <c r="U24" s="92" t="s">
        <v>294</v>
      </c>
      <c r="V24" s="92" t="s">
        <v>313</v>
      </c>
      <c r="W24" s="89" t="s">
        <v>289</v>
      </c>
      <c r="X24" s="89" t="s">
        <v>295</v>
      </c>
      <c r="Y24" s="89" t="s">
        <v>20</v>
      </c>
      <c r="Z24" s="89" t="s">
        <v>21</v>
      </c>
      <c r="AA24" s="89" t="s">
        <v>22</v>
      </c>
      <c r="AB24" s="89" t="s">
        <v>23</v>
      </c>
      <c r="AC24" s="89" t="s">
        <v>24</v>
      </c>
      <c r="AD24" s="88" t="s">
        <v>296</v>
      </c>
      <c r="AE24" s="88" t="s">
        <v>297</v>
      </c>
      <c r="AF24" s="88" t="s">
        <v>25</v>
      </c>
      <c r="AG24" s="89" t="s">
        <v>26</v>
      </c>
      <c r="AH24" s="67" t="s">
        <v>27</v>
      </c>
    </row>
    <row r="25" spans="1:34" x14ac:dyDescent="0.25">
      <c r="A25" s="28" t="s">
        <v>235</v>
      </c>
      <c r="B25" s="10">
        <v>162975</v>
      </c>
      <c r="C25" s="10"/>
      <c r="D25" s="10"/>
      <c r="E25" s="10">
        <v>3091105</v>
      </c>
      <c r="F25" s="10">
        <v>1167487</v>
      </c>
      <c r="G25" s="10"/>
      <c r="H25" s="10">
        <v>2493566</v>
      </c>
      <c r="I25" s="10"/>
      <c r="J25" s="10">
        <v>116553</v>
      </c>
      <c r="K25" s="10">
        <v>1093438</v>
      </c>
      <c r="L25" s="10">
        <v>-2151515</v>
      </c>
      <c r="M25" s="10">
        <f>461463+1925506</f>
        <v>2386969</v>
      </c>
      <c r="N25" s="10">
        <v>6119235</v>
      </c>
      <c r="O25" s="10">
        <v>3385450</v>
      </c>
      <c r="P25" s="10">
        <v>204118</v>
      </c>
      <c r="Q25" s="10">
        <f>575604+117314</f>
        <v>692918</v>
      </c>
      <c r="R25" s="10">
        <v>308208</v>
      </c>
      <c r="S25" s="10"/>
      <c r="T25" s="10">
        <v>5180320.2929999996</v>
      </c>
      <c r="U25" s="10">
        <v>28075</v>
      </c>
      <c r="V25" s="10"/>
      <c r="W25" s="10">
        <f>10388+236907</f>
        <v>247295</v>
      </c>
      <c r="X25" s="10">
        <v>2254440</v>
      </c>
      <c r="Y25" s="10">
        <v>1667365</v>
      </c>
      <c r="Z25" s="10">
        <v>3938018</v>
      </c>
      <c r="AA25" s="10">
        <v>1372330</v>
      </c>
      <c r="AB25" s="10"/>
      <c r="AC25" s="10">
        <v>2644443</v>
      </c>
      <c r="AD25" s="10">
        <v>10169554</v>
      </c>
      <c r="AE25" s="10">
        <v>2938986</v>
      </c>
      <c r="AF25" s="10">
        <v>5217188</v>
      </c>
      <c r="AG25" s="10">
        <f>174334+571052</f>
        <v>745386</v>
      </c>
      <c r="AH25" s="10">
        <f t="shared" ref="AH25:AH31" si="2">SUM(B25:AG25)</f>
        <v>55473907.292999998</v>
      </c>
    </row>
    <row r="26" spans="1:34" x14ac:dyDescent="0.25">
      <c r="A26" s="28" t="s">
        <v>286</v>
      </c>
      <c r="B26" s="10">
        <v>1118730</v>
      </c>
      <c r="C26" s="10"/>
      <c r="D26" s="10"/>
      <c r="E26" s="10">
        <v>103288699</v>
      </c>
      <c r="F26" s="10">
        <v>24150643</v>
      </c>
      <c r="G26" s="10"/>
      <c r="H26" s="10">
        <v>64595068</v>
      </c>
      <c r="I26" s="10"/>
      <c r="J26" s="10">
        <v>100140</v>
      </c>
      <c r="K26" s="10">
        <v>22224154</v>
      </c>
      <c r="L26" s="10">
        <v>24747937</v>
      </c>
      <c r="M26" s="10">
        <f>50384430+2926722</f>
        <v>53311152</v>
      </c>
      <c r="N26" s="10">
        <v>121908728</v>
      </c>
      <c r="O26" s="10">
        <v>59682467</v>
      </c>
      <c r="P26" s="10">
        <v>3507188</v>
      </c>
      <c r="Q26" s="10">
        <f>737671+10588485</f>
        <v>11326156</v>
      </c>
      <c r="R26" s="10">
        <v>20528004</v>
      </c>
      <c r="S26" s="10"/>
      <c r="T26" s="10">
        <v>155264118.88289472</v>
      </c>
      <c r="U26" s="10">
        <v>1008075</v>
      </c>
      <c r="V26" s="10"/>
      <c r="W26" s="10">
        <f>2636016+309276</f>
        <v>2945292</v>
      </c>
      <c r="X26" s="10">
        <v>56074177</v>
      </c>
      <c r="Y26" s="10">
        <v>42846681</v>
      </c>
      <c r="Z26" s="10">
        <v>21577122</v>
      </c>
      <c r="AA26" s="10">
        <v>74971324</v>
      </c>
      <c r="AB26" s="10"/>
      <c r="AC26" s="10">
        <v>62341843</v>
      </c>
      <c r="AD26" s="10">
        <v>229105806</v>
      </c>
      <c r="AE26" s="10">
        <v>130515784</v>
      </c>
      <c r="AF26" s="10">
        <v>195110745</v>
      </c>
      <c r="AG26" s="10">
        <f>12181586+998809</f>
        <v>13180395</v>
      </c>
      <c r="AH26" s="10">
        <f t="shared" si="2"/>
        <v>1495430428.8828948</v>
      </c>
    </row>
    <row r="27" spans="1:34" x14ac:dyDescent="0.25">
      <c r="A27" s="28" t="s">
        <v>285</v>
      </c>
      <c r="B27" s="10">
        <v>983265</v>
      </c>
      <c r="C27" s="10"/>
      <c r="D27" s="10"/>
      <c r="E27" s="10">
        <v>94562619</v>
      </c>
      <c r="F27" s="10">
        <v>23161744</v>
      </c>
      <c r="G27" s="10"/>
      <c r="H27" s="10">
        <v>62630788</v>
      </c>
      <c r="I27" s="10"/>
      <c r="J27" s="10">
        <v>797999</v>
      </c>
      <c r="K27" s="10">
        <v>21418924</v>
      </c>
      <c r="L27" s="10">
        <v>20444084</v>
      </c>
      <c r="M27" s="10">
        <f>-48863599-2754280</f>
        <v>-51617879</v>
      </c>
      <c r="N27" s="10">
        <v>119823204</v>
      </c>
      <c r="O27" s="10">
        <v>56090459</v>
      </c>
      <c r="P27" s="10">
        <v>3184739</v>
      </c>
      <c r="Q27" s="10">
        <f>708626+10079600</f>
        <v>10788226</v>
      </c>
      <c r="R27" s="10">
        <v>-19001561</v>
      </c>
      <c r="S27" s="10"/>
      <c r="T27" s="10">
        <v>151880299.76856267</v>
      </c>
      <c r="U27" s="10">
        <v>-958469</v>
      </c>
      <c r="V27" s="10"/>
      <c r="W27" s="10">
        <f>2492753+218811</f>
        <v>2711564</v>
      </c>
      <c r="X27" s="10">
        <v>53837321</v>
      </c>
      <c r="Y27" s="10">
        <v>-40318373</v>
      </c>
      <c r="Z27" s="10">
        <v>20027609</v>
      </c>
      <c r="AA27" s="10">
        <v>72296605</v>
      </c>
      <c r="AB27" s="10"/>
      <c r="AC27" s="10">
        <v>57232926</v>
      </c>
      <c r="AD27" s="10">
        <v>220003004</v>
      </c>
      <c r="AE27" s="10">
        <v>125328746</v>
      </c>
      <c r="AF27" s="10">
        <v>191765087</v>
      </c>
      <c r="AG27" s="10">
        <f>11782015+913393</f>
        <v>12695408</v>
      </c>
      <c r="AH27" s="10">
        <f t="shared" si="2"/>
        <v>1209768338.7685628</v>
      </c>
    </row>
    <row r="28" spans="1:34" x14ac:dyDescent="0.25">
      <c r="A28" s="28" t="s">
        <v>310</v>
      </c>
      <c r="B28" s="10"/>
      <c r="C28" s="10"/>
      <c r="D28" s="10"/>
      <c r="E28" s="10">
        <v>11817185</v>
      </c>
      <c r="F28" s="10"/>
      <c r="G28" s="10"/>
      <c r="H28" s="10">
        <v>4457846</v>
      </c>
      <c r="I28" s="10"/>
      <c r="J28" s="10">
        <v>-581306</v>
      </c>
      <c r="K28" s="10"/>
      <c r="L28" s="10"/>
      <c r="M28" s="10">
        <f>1982294+2097948</f>
        <v>4080242</v>
      </c>
      <c r="N28" s="10">
        <v>8204759</v>
      </c>
      <c r="O28" s="10">
        <v>6977458</v>
      </c>
      <c r="P28" s="10">
        <v>526567</v>
      </c>
      <c r="Q28" s="10">
        <f>604649+626199</f>
        <v>1230848</v>
      </c>
      <c r="R28" s="10">
        <v>1834651</v>
      </c>
      <c r="S28" s="10"/>
      <c r="T28" s="10"/>
      <c r="U28" s="10">
        <v>77681</v>
      </c>
      <c r="V28" s="10"/>
      <c r="W28" s="10">
        <f>153651+327372</f>
        <v>481023</v>
      </c>
      <c r="X28" s="10"/>
      <c r="Y28" s="10">
        <v>4195673</v>
      </c>
      <c r="Z28" s="10"/>
      <c r="AA28" s="10"/>
      <c r="AB28" s="10"/>
      <c r="AC28" s="10">
        <v>7753360</v>
      </c>
      <c r="AD28" s="10">
        <v>19272356</v>
      </c>
      <c r="AE28" s="10">
        <v>8126024</v>
      </c>
      <c r="AF28" s="10">
        <v>8562846</v>
      </c>
      <c r="AG28" s="10">
        <f>573905+656468</f>
        <v>1230373</v>
      </c>
      <c r="AH28" s="10">
        <f t="shared" si="2"/>
        <v>88247586</v>
      </c>
    </row>
    <row r="29" spans="1:34" x14ac:dyDescent="0.25">
      <c r="A29" s="28" t="s">
        <v>311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>
        <v>2399651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>
        <v>24842</v>
      </c>
      <c r="AE29" s="10">
        <v>72</v>
      </c>
      <c r="AF29" s="10">
        <v>30955</v>
      </c>
      <c r="AG29" s="10"/>
      <c r="AH29" s="10">
        <f t="shared" si="2"/>
        <v>2455520</v>
      </c>
    </row>
    <row r="30" spans="1:34" x14ac:dyDescent="0.25">
      <c r="A30" s="28" t="s">
        <v>312</v>
      </c>
      <c r="B30" s="10">
        <v>105374</v>
      </c>
      <c r="C30" s="10"/>
      <c r="D30" s="10"/>
      <c r="E30" s="10">
        <v>353804</v>
      </c>
      <c r="F30" s="10">
        <v>91478</v>
      </c>
      <c r="G30" s="10"/>
      <c r="H30" s="10">
        <v>530004</v>
      </c>
      <c r="I30" s="10"/>
      <c r="J30" s="10">
        <v>-787654</v>
      </c>
      <c r="K30" s="10">
        <v>106964</v>
      </c>
      <c r="L30" s="10">
        <v>57641</v>
      </c>
      <c r="M30" s="10">
        <f>-3242782-266369</f>
        <v>-3509151</v>
      </c>
      <c r="N30" s="10">
        <v>473191</v>
      </c>
      <c r="O30" s="10">
        <v>742964</v>
      </c>
      <c r="P30" s="10">
        <v>11926</v>
      </c>
      <c r="Q30" s="10">
        <f>27581+5750</f>
        <v>33331</v>
      </c>
      <c r="R30" s="10">
        <v>-200736</v>
      </c>
      <c r="S30" s="10"/>
      <c r="T30" s="10">
        <v>540843.24399999995</v>
      </c>
      <c r="U30" s="10">
        <v>-1403</v>
      </c>
      <c r="V30" s="10"/>
      <c r="W30" s="10">
        <f>519+11845</f>
        <v>12364</v>
      </c>
      <c r="X30" s="10">
        <v>522393</v>
      </c>
      <c r="Y30" s="10">
        <v>-343382</v>
      </c>
      <c r="Z30" s="10">
        <v>3031629</v>
      </c>
      <c r="AA30" s="10">
        <v>81616</v>
      </c>
      <c r="AB30" s="10"/>
      <c r="AC30" s="10">
        <v>696128</v>
      </c>
      <c r="AD30" s="10">
        <v>499011</v>
      </c>
      <c r="AE30" s="10">
        <v>475966</v>
      </c>
      <c r="AF30" s="10">
        <v>581937</v>
      </c>
      <c r="AG30" s="10">
        <f>8511+28554</f>
        <v>37065</v>
      </c>
      <c r="AH30" s="10">
        <f t="shared" si="2"/>
        <v>4143303.2439999999</v>
      </c>
    </row>
    <row r="31" spans="1:34" x14ac:dyDescent="0.25">
      <c r="A31" s="28" t="s">
        <v>280</v>
      </c>
      <c r="B31" s="10">
        <v>193066</v>
      </c>
      <c r="C31" s="10"/>
      <c r="D31" s="10"/>
      <c r="E31" s="10">
        <v>7669411</v>
      </c>
      <c r="F31" s="10">
        <v>2064907</v>
      </c>
      <c r="G31" s="10"/>
      <c r="H31" s="10">
        <v>3927842</v>
      </c>
      <c r="I31" s="10"/>
      <c r="J31" s="10">
        <v>206348</v>
      </c>
      <c r="K31" s="10">
        <v>1791703</v>
      </c>
      <c r="L31" s="10">
        <v>4494348</v>
      </c>
      <c r="M31" s="10">
        <f>1339614+1988504</f>
        <v>3328118</v>
      </c>
      <c r="N31" s="10">
        <v>11502438</v>
      </c>
      <c r="O31" s="10">
        <v>6234494</v>
      </c>
      <c r="P31" s="10">
        <v>514641</v>
      </c>
      <c r="Q31" s="10">
        <f>575621+595251</f>
        <v>1170872</v>
      </c>
      <c r="R31" s="10">
        <v>1359556</v>
      </c>
      <c r="S31" s="10"/>
      <c r="T31" s="10">
        <v>8023296.1633320451</v>
      </c>
      <c r="U31" s="10">
        <v>73797</v>
      </c>
      <c r="V31" s="10"/>
      <c r="W31" s="10">
        <f>311709+146616</f>
        <v>458325</v>
      </c>
      <c r="X31" s="10">
        <v>3968903</v>
      </c>
      <c r="Y31" s="10">
        <v>3608629</v>
      </c>
      <c r="Z31" s="10">
        <v>2455902</v>
      </c>
      <c r="AA31" s="10">
        <v>3965433</v>
      </c>
      <c r="AB31" s="10"/>
      <c r="AC31" s="10">
        <v>7057232</v>
      </c>
      <c r="AD31" s="10">
        <v>18484574</v>
      </c>
      <c r="AE31" s="10">
        <v>7650130</v>
      </c>
      <c r="AF31" s="10">
        <v>8011864</v>
      </c>
      <c r="AG31" s="10">
        <f>565394+627914</f>
        <v>1193308</v>
      </c>
      <c r="AH31" s="10">
        <f t="shared" si="2"/>
        <v>109409137.16333205</v>
      </c>
    </row>
    <row r="32" spans="1:34" x14ac:dyDescent="0.25">
      <c r="A32" s="18"/>
    </row>
    <row r="33" spans="1:34" x14ac:dyDescent="0.25">
      <c r="A33" s="35" t="s">
        <v>227</v>
      </c>
    </row>
    <row r="34" spans="1:34" x14ac:dyDescent="0.25">
      <c r="A34" s="3" t="s">
        <v>0</v>
      </c>
      <c r="B34" s="89" t="s">
        <v>1</v>
      </c>
      <c r="C34" s="89" t="s">
        <v>290</v>
      </c>
      <c r="D34" s="89" t="s">
        <v>3</v>
      </c>
      <c r="E34" s="89" t="s">
        <v>4</v>
      </c>
      <c r="F34" s="89" t="s">
        <v>5</v>
      </c>
      <c r="G34" s="89" t="s">
        <v>291</v>
      </c>
      <c r="H34" s="89" t="s">
        <v>292</v>
      </c>
      <c r="I34" s="89" t="s">
        <v>8</v>
      </c>
      <c r="J34" s="89" t="s">
        <v>7</v>
      </c>
      <c r="K34" s="89" t="s">
        <v>9</v>
      </c>
      <c r="L34" s="89" t="s">
        <v>288</v>
      </c>
      <c r="M34" s="89" t="s">
        <v>11</v>
      </c>
      <c r="N34" s="89" t="s">
        <v>12</v>
      </c>
      <c r="O34" s="89" t="s">
        <v>13</v>
      </c>
      <c r="P34" s="89" t="s">
        <v>14</v>
      </c>
      <c r="Q34" s="89" t="s">
        <v>15</v>
      </c>
      <c r="R34" s="89" t="s">
        <v>16</v>
      </c>
      <c r="S34" s="89" t="s">
        <v>293</v>
      </c>
      <c r="T34" s="92" t="s">
        <v>17</v>
      </c>
      <c r="U34" s="92" t="s">
        <v>294</v>
      </c>
      <c r="V34" s="92" t="s">
        <v>313</v>
      </c>
      <c r="W34" s="89" t="s">
        <v>289</v>
      </c>
      <c r="X34" s="89" t="s">
        <v>295</v>
      </c>
      <c r="Y34" s="89" t="s">
        <v>20</v>
      </c>
      <c r="Z34" s="89" t="s">
        <v>21</v>
      </c>
      <c r="AA34" s="89" t="s">
        <v>22</v>
      </c>
      <c r="AB34" s="89" t="s">
        <v>23</v>
      </c>
      <c r="AC34" s="89" t="s">
        <v>24</v>
      </c>
      <c r="AD34" s="88" t="s">
        <v>296</v>
      </c>
      <c r="AE34" s="88" t="s">
        <v>297</v>
      </c>
      <c r="AF34" s="88" t="s">
        <v>25</v>
      </c>
      <c r="AG34" s="89" t="s">
        <v>26</v>
      </c>
      <c r="AH34" s="67" t="s">
        <v>27</v>
      </c>
    </row>
    <row r="35" spans="1:34" x14ac:dyDescent="0.25">
      <c r="A35" s="28" t="s">
        <v>235</v>
      </c>
      <c r="B35" s="10"/>
      <c r="C35" s="10"/>
      <c r="D35" s="10"/>
      <c r="E35" s="10">
        <v>185168</v>
      </c>
      <c r="F35" s="10">
        <v>21165</v>
      </c>
      <c r="G35" s="10"/>
      <c r="H35" s="10">
        <v>39260</v>
      </c>
      <c r="I35" s="10"/>
      <c r="J35" s="10">
        <v>6204</v>
      </c>
      <c r="K35" s="10">
        <v>60464</v>
      </c>
      <c r="L35" s="10">
        <v>3131</v>
      </c>
      <c r="M35" s="10">
        <v>104910</v>
      </c>
      <c r="N35" s="10">
        <v>480762</v>
      </c>
      <c r="O35" s="10">
        <v>60463</v>
      </c>
      <c r="P35" s="10">
        <v>1093</v>
      </c>
      <c r="Q35" s="10">
        <v>32357</v>
      </c>
      <c r="R35" s="10">
        <v>2706</v>
      </c>
      <c r="S35" s="10"/>
      <c r="T35" s="10">
        <v>200776.12599999999</v>
      </c>
      <c r="U35" s="10"/>
      <c r="V35" s="10"/>
      <c r="W35" s="10">
        <v>43</v>
      </c>
      <c r="X35" s="10">
        <v>79704</v>
      </c>
      <c r="Y35" s="10">
        <v>23099</v>
      </c>
      <c r="Z35" s="10">
        <v>35457</v>
      </c>
      <c r="AA35" s="10">
        <v>27108</v>
      </c>
      <c r="AB35" s="10"/>
      <c r="AC35" s="10">
        <v>117848</v>
      </c>
      <c r="AD35" s="10">
        <v>325595</v>
      </c>
      <c r="AE35" s="10">
        <v>82908</v>
      </c>
      <c r="AF35" s="10">
        <v>1248341</v>
      </c>
      <c r="AG35" s="10">
        <v>3082</v>
      </c>
      <c r="AH35" s="10">
        <f t="shared" ref="AH35:AH41" si="3">SUM(B35:AG35)</f>
        <v>3141644.1260000002</v>
      </c>
    </row>
    <row r="36" spans="1:34" x14ac:dyDescent="0.25">
      <c r="A36" s="28" t="s">
        <v>286</v>
      </c>
      <c r="B36" s="10"/>
      <c r="C36" s="10"/>
      <c r="D36" s="10"/>
      <c r="E36" s="10">
        <v>9389585</v>
      </c>
      <c r="F36" s="10">
        <v>115306</v>
      </c>
      <c r="G36" s="10"/>
      <c r="H36" s="10">
        <v>70191</v>
      </c>
      <c r="I36" s="10"/>
      <c r="J36" s="10">
        <v>-1234</v>
      </c>
      <c r="K36" s="10">
        <v>105814</v>
      </c>
      <c r="L36" s="10">
        <v>7766</v>
      </c>
      <c r="M36" s="10">
        <v>3550032</v>
      </c>
      <c r="N36" s="10">
        <v>4096316</v>
      </c>
      <c r="O36" s="10">
        <v>167701</v>
      </c>
      <c r="P36" s="10">
        <v>2531</v>
      </c>
      <c r="Q36" s="10">
        <v>194975</v>
      </c>
      <c r="R36" s="10">
        <v>104305</v>
      </c>
      <c r="S36" s="10"/>
      <c r="T36" s="10">
        <v>2752403.3778197858</v>
      </c>
      <c r="U36" s="10">
        <v>6</v>
      </c>
      <c r="V36" s="10"/>
      <c r="W36" s="10">
        <v>5288</v>
      </c>
      <c r="X36" s="10">
        <v>325396</v>
      </c>
      <c r="Y36" s="10">
        <v>738927</v>
      </c>
      <c r="Z36" s="10">
        <v>181800</v>
      </c>
      <c r="AA36" s="10">
        <v>109104</v>
      </c>
      <c r="AB36" s="10"/>
      <c r="AC36" s="10">
        <v>117064</v>
      </c>
      <c r="AD36" s="10">
        <v>9851066</v>
      </c>
      <c r="AE36" s="10">
        <v>4965474</v>
      </c>
      <c r="AF36" s="10">
        <v>9579392</v>
      </c>
      <c r="AG36" s="10">
        <v>44850</v>
      </c>
      <c r="AH36" s="10">
        <f t="shared" si="3"/>
        <v>46474058.377819784</v>
      </c>
    </row>
    <row r="37" spans="1:34" x14ac:dyDescent="0.25">
      <c r="A37" s="28" t="s">
        <v>285</v>
      </c>
      <c r="B37" s="10"/>
      <c r="C37" s="10"/>
      <c r="D37" s="10"/>
      <c r="E37" s="10">
        <v>1933186</v>
      </c>
      <c r="F37" s="10">
        <v>110793</v>
      </c>
      <c r="G37" s="10"/>
      <c r="H37" s="10">
        <v>81858</v>
      </c>
      <c r="I37" s="10"/>
      <c r="J37" s="10">
        <v>12342</v>
      </c>
      <c r="K37" s="10">
        <v>100567</v>
      </c>
      <c r="L37" s="10">
        <v>7266</v>
      </c>
      <c r="M37" s="10">
        <v>-3123931</v>
      </c>
      <c r="N37" s="10">
        <v>3944764</v>
      </c>
      <c r="O37" s="10">
        <v>171741</v>
      </c>
      <c r="P37" s="10">
        <v>1710</v>
      </c>
      <c r="Q37" s="10">
        <v>176763</v>
      </c>
      <c r="R37" s="10">
        <v>-125376</v>
      </c>
      <c r="S37" s="10"/>
      <c r="T37" s="10">
        <v>2923587.4357474009</v>
      </c>
      <c r="U37" s="10">
        <v>-5584</v>
      </c>
      <c r="V37" s="10"/>
      <c r="W37" s="10">
        <v>2983</v>
      </c>
      <c r="X37" s="10">
        <v>282886</v>
      </c>
      <c r="Y37" s="10">
        <v>-695614</v>
      </c>
      <c r="Z37" s="10">
        <v>109727</v>
      </c>
      <c r="AA37" s="10">
        <v>122053</v>
      </c>
      <c r="AB37" s="10"/>
      <c r="AC37" s="10">
        <v>91394</v>
      </c>
      <c r="AD37" s="10">
        <v>9758981</v>
      </c>
      <c r="AE37" s="10">
        <v>4955110</v>
      </c>
      <c r="AF37" s="10">
        <v>10328297</v>
      </c>
      <c r="AG37" s="10">
        <v>52669</v>
      </c>
      <c r="AH37" s="10">
        <f t="shared" si="3"/>
        <v>31218172.4357474</v>
      </c>
    </row>
    <row r="38" spans="1:34" x14ac:dyDescent="0.25">
      <c r="A38" s="28" t="s">
        <v>310</v>
      </c>
      <c r="B38" s="10"/>
      <c r="C38" s="10"/>
      <c r="D38" s="10"/>
      <c r="E38" s="10">
        <v>7641567</v>
      </c>
      <c r="F38" s="10"/>
      <c r="G38" s="10"/>
      <c r="H38" s="10">
        <v>27593</v>
      </c>
      <c r="I38" s="10"/>
      <c r="J38" s="10">
        <v>-7372</v>
      </c>
      <c r="K38" s="10"/>
      <c r="L38" s="10"/>
      <c r="M38" s="10">
        <v>531012</v>
      </c>
      <c r="N38" s="10">
        <v>632314</v>
      </c>
      <c r="O38" s="10">
        <v>56423</v>
      </c>
      <c r="P38" s="10">
        <v>1914</v>
      </c>
      <c r="Q38" s="10">
        <v>50569</v>
      </c>
      <c r="R38" s="10">
        <v>-18365</v>
      </c>
      <c r="S38" s="10"/>
      <c r="T38" s="10"/>
      <c r="U38" s="10">
        <v>-5578</v>
      </c>
      <c r="V38" s="10"/>
      <c r="W38" s="10">
        <v>2348</v>
      </c>
      <c r="X38" s="10"/>
      <c r="Y38" s="10">
        <v>66411</v>
      </c>
      <c r="Z38" s="10"/>
      <c r="AA38" s="10"/>
      <c r="AB38" s="10"/>
      <c r="AC38" s="10">
        <v>143518</v>
      </c>
      <c r="AD38" s="10">
        <v>417680</v>
      </c>
      <c r="AE38" s="10">
        <v>93272</v>
      </c>
      <c r="AF38" s="10">
        <v>499436</v>
      </c>
      <c r="AG38" s="10">
        <v>-4737</v>
      </c>
      <c r="AH38" s="10">
        <f t="shared" si="3"/>
        <v>10128005</v>
      </c>
    </row>
    <row r="39" spans="1:34" x14ac:dyDescent="0.25">
      <c r="A39" s="28" t="s">
        <v>311</v>
      </c>
      <c r="B39" s="10"/>
      <c r="C39" s="10"/>
      <c r="D39" s="10"/>
      <c r="E39" s="10">
        <v>547</v>
      </c>
      <c r="F39" s="10">
        <v>574</v>
      </c>
      <c r="G39" s="10"/>
      <c r="H39" s="10"/>
      <c r="I39" s="10"/>
      <c r="J39" s="10"/>
      <c r="K39" s="10">
        <v>4733</v>
      </c>
      <c r="L39" s="10"/>
      <c r="M39" s="10">
        <v>6130</v>
      </c>
      <c r="N39" s="10">
        <v>7101</v>
      </c>
      <c r="O39" s="10">
        <v>474</v>
      </c>
      <c r="P39" s="10"/>
      <c r="Q39" s="10"/>
      <c r="R39" s="10">
        <v>101</v>
      </c>
      <c r="S39" s="10"/>
      <c r="T39" s="10">
        <v>5527.4459999999999</v>
      </c>
      <c r="U39" s="10"/>
      <c r="V39" s="10"/>
      <c r="W39" s="10"/>
      <c r="X39" s="10"/>
      <c r="Y39" s="10">
        <v>2761</v>
      </c>
      <c r="Z39" s="10"/>
      <c r="AA39" s="10"/>
      <c r="AB39" s="10"/>
      <c r="AC39" s="10">
        <v>8</v>
      </c>
      <c r="AD39" s="10">
        <v>175204</v>
      </c>
      <c r="AE39" s="10">
        <v>-205309</v>
      </c>
      <c r="AF39" s="10">
        <v>-240269</v>
      </c>
      <c r="AG39" s="10"/>
      <c r="AH39" s="10">
        <f t="shared" si="3"/>
        <v>-242417.554</v>
      </c>
    </row>
    <row r="40" spans="1:34" x14ac:dyDescent="0.25">
      <c r="A40" s="28" t="s">
        <v>312</v>
      </c>
      <c r="B40" s="10"/>
      <c r="C40" s="10"/>
      <c r="D40" s="10"/>
      <c r="E40" s="10">
        <v>166685</v>
      </c>
      <c r="F40" s="10">
        <v>11430</v>
      </c>
      <c r="G40" s="10"/>
      <c r="H40" s="10">
        <v>18368</v>
      </c>
      <c r="I40" s="10"/>
      <c r="J40" s="10">
        <v>-8739</v>
      </c>
      <c r="K40" s="10">
        <v>54774</v>
      </c>
      <c r="L40" s="10">
        <v>1666</v>
      </c>
      <c r="M40" s="10">
        <v>-57815</v>
      </c>
      <c r="N40" s="10">
        <v>290249</v>
      </c>
      <c r="O40" s="10">
        <v>49173</v>
      </c>
      <c r="P40" s="10">
        <v>1008</v>
      </c>
      <c r="Q40" s="10">
        <v>22108</v>
      </c>
      <c r="R40" s="10">
        <v>-2793</v>
      </c>
      <c r="S40" s="10"/>
      <c r="T40" s="10">
        <v>97257.486000000004</v>
      </c>
      <c r="U40" s="10"/>
      <c r="V40" s="10"/>
      <c r="W40" s="10">
        <v>35</v>
      </c>
      <c r="X40" s="10">
        <v>49162</v>
      </c>
      <c r="Y40" s="10">
        <v>-21400</v>
      </c>
      <c r="Z40" s="10">
        <v>20672</v>
      </c>
      <c r="AA40" s="10">
        <v>2647</v>
      </c>
      <c r="AB40" s="10"/>
      <c r="AC40" s="10">
        <v>108878</v>
      </c>
      <c r="AD40" s="10">
        <v>105381</v>
      </c>
      <c r="AE40" s="10">
        <v>34340</v>
      </c>
      <c r="AF40" s="10">
        <v>379915</v>
      </c>
      <c r="AG40" s="10">
        <v>2350</v>
      </c>
      <c r="AH40" s="10">
        <f t="shared" si="3"/>
        <v>1325351.486</v>
      </c>
    </row>
    <row r="41" spans="1:34" x14ac:dyDescent="0.25">
      <c r="A41" s="28" t="s">
        <v>280</v>
      </c>
      <c r="B41" s="10"/>
      <c r="C41" s="10"/>
      <c r="D41" s="10"/>
      <c r="E41" s="10">
        <v>46789</v>
      </c>
      <c r="F41" s="10">
        <v>14822</v>
      </c>
      <c r="G41" s="10"/>
      <c r="H41" s="10">
        <v>9225</v>
      </c>
      <c r="I41" s="10"/>
      <c r="J41" s="10">
        <v>1367</v>
      </c>
      <c r="K41" s="10">
        <v>15671</v>
      </c>
      <c r="L41" s="10">
        <v>1965</v>
      </c>
      <c r="M41" s="10">
        <v>157401</v>
      </c>
      <c r="N41" s="10">
        <v>220123</v>
      </c>
      <c r="O41" s="10">
        <v>7724</v>
      </c>
      <c r="P41" s="10">
        <v>906</v>
      </c>
      <c r="Q41" s="10">
        <v>14260</v>
      </c>
      <c r="R41" s="10">
        <v>2482</v>
      </c>
      <c r="S41" s="10"/>
      <c r="T41" s="10">
        <v>-62137.971927614883</v>
      </c>
      <c r="U41" s="10">
        <v>-318</v>
      </c>
      <c r="V41" s="10"/>
      <c r="W41" s="10">
        <v>1230</v>
      </c>
      <c r="X41" s="10">
        <v>73052</v>
      </c>
      <c r="Y41" s="10">
        <v>19769</v>
      </c>
      <c r="Z41" s="10">
        <v>86858</v>
      </c>
      <c r="AA41" s="10">
        <v>11511</v>
      </c>
      <c r="AB41" s="10"/>
      <c r="AC41" s="10">
        <v>34648</v>
      </c>
      <c r="AD41" s="10">
        <v>183911</v>
      </c>
      <c r="AE41" s="10">
        <v>-146377</v>
      </c>
      <c r="AF41" s="10">
        <v>-120748</v>
      </c>
      <c r="AG41" s="10">
        <v>-7087</v>
      </c>
      <c r="AH41" s="10">
        <f t="shared" si="3"/>
        <v>567046.02807238512</v>
      </c>
    </row>
    <row r="42" spans="1:34" x14ac:dyDescent="0.25">
      <c r="A42" s="18"/>
    </row>
    <row r="43" spans="1:34" x14ac:dyDescent="0.25">
      <c r="A43" s="35" t="s">
        <v>228</v>
      </c>
    </row>
    <row r="44" spans="1:34" x14ac:dyDescent="0.25">
      <c r="A44" s="3" t="s">
        <v>0</v>
      </c>
      <c r="B44" s="89" t="s">
        <v>1</v>
      </c>
      <c r="C44" s="89" t="s">
        <v>290</v>
      </c>
      <c r="D44" s="89" t="s">
        <v>3</v>
      </c>
      <c r="E44" s="89" t="s">
        <v>4</v>
      </c>
      <c r="F44" s="89" t="s">
        <v>5</v>
      </c>
      <c r="G44" s="89" t="s">
        <v>291</v>
      </c>
      <c r="H44" s="89" t="s">
        <v>292</v>
      </c>
      <c r="I44" s="89" t="s">
        <v>8</v>
      </c>
      <c r="J44" s="89" t="s">
        <v>7</v>
      </c>
      <c r="K44" s="89" t="s">
        <v>9</v>
      </c>
      <c r="L44" s="89" t="s">
        <v>288</v>
      </c>
      <c r="M44" s="89" t="s">
        <v>11</v>
      </c>
      <c r="N44" s="89" t="s">
        <v>12</v>
      </c>
      <c r="O44" s="89" t="s">
        <v>13</v>
      </c>
      <c r="P44" s="89" t="s">
        <v>14</v>
      </c>
      <c r="Q44" s="89" t="s">
        <v>15</v>
      </c>
      <c r="R44" s="89" t="s">
        <v>16</v>
      </c>
      <c r="S44" s="89" t="s">
        <v>293</v>
      </c>
      <c r="T44" s="92" t="s">
        <v>17</v>
      </c>
      <c r="U44" s="92" t="s">
        <v>294</v>
      </c>
      <c r="V44" s="92" t="s">
        <v>313</v>
      </c>
      <c r="W44" s="89" t="s">
        <v>289</v>
      </c>
      <c r="X44" s="89" t="s">
        <v>295</v>
      </c>
      <c r="Y44" s="89" t="s">
        <v>20</v>
      </c>
      <c r="Z44" s="89" t="s">
        <v>21</v>
      </c>
      <c r="AA44" s="89" t="s">
        <v>22</v>
      </c>
      <c r="AB44" s="89" t="s">
        <v>23</v>
      </c>
      <c r="AC44" s="89" t="s">
        <v>24</v>
      </c>
      <c r="AD44" s="88" t="s">
        <v>296</v>
      </c>
      <c r="AE44" s="88" t="s">
        <v>297</v>
      </c>
      <c r="AF44" s="88" t="s">
        <v>25</v>
      </c>
      <c r="AG44" s="89" t="s">
        <v>26</v>
      </c>
      <c r="AH44" s="67" t="s">
        <v>27</v>
      </c>
    </row>
    <row r="45" spans="1:34" x14ac:dyDescent="0.25">
      <c r="A45" s="28" t="s">
        <v>235</v>
      </c>
      <c r="B45" s="10">
        <v>426959</v>
      </c>
      <c r="C45" s="10">
        <v>2164692</v>
      </c>
      <c r="D45" s="10"/>
      <c r="E45" s="10">
        <v>5493728</v>
      </c>
      <c r="F45" s="10">
        <v>592878</v>
      </c>
      <c r="G45" s="10">
        <v>4018947</v>
      </c>
      <c r="H45" s="10">
        <v>1860600</v>
      </c>
      <c r="I45" s="10"/>
      <c r="J45" s="10">
        <v>319929</v>
      </c>
      <c r="K45" s="10">
        <v>1492361</v>
      </c>
      <c r="L45" s="10">
        <v>493286</v>
      </c>
      <c r="M45" s="10">
        <v>7663993</v>
      </c>
      <c r="N45" s="10">
        <v>6651631</v>
      </c>
      <c r="O45" s="10">
        <v>5037932</v>
      </c>
      <c r="P45" s="10">
        <v>266050</v>
      </c>
      <c r="Q45" s="10">
        <v>542332</v>
      </c>
      <c r="R45" s="10">
        <v>104000</v>
      </c>
      <c r="S45" s="10">
        <v>1544542</v>
      </c>
      <c r="T45" s="10">
        <v>14722874.632999999</v>
      </c>
      <c r="U45" s="10">
        <v>10291</v>
      </c>
      <c r="V45" s="10">
        <v>2992761</v>
      </c>
      <c r="W45" s="10">
        <v>122376</v>
      </c>
      <c r="X45" s="10">
        <v>2536014</v>
      </c>
      <c r="Y45" s="10">
        <v>798730</v>
      </c>
      <c r="Z45" s="10">
        <v>2574511</v>
      </c>
      <c r="AA45" s="10"/>
      <c r="AB45" s="10"/>
      <c r="AC45" s="10">
        <v>1652387</v>
      </c>
      <c r="AD45" s="10">
        <v>34303425</v>
      </c>
      <c r="AE45" s="10">
        <v>14992756</v>
      </c>
      <c r="AF45" s="10">
        <v>16517124</v>
      </c>
      <c r="AG45" s="10">
        <v>514582</v>
      </c>
      <c r="AH45" s="10">
        <f t="shared" ref="AH45:AH51" si="4">SUM(B45:AG45)</f>
        <v>130411691.633</v>
      </c>
    </row>
    <row r="46" spans="1:34" x14ac:dyDescent="0.25">
      <c r="A46" s="28" t="s">
        <v>286</v>
      </c>
      <c r="B46" s="10">
        <v>412959</v>
      </c>
      <c r="C46" s="10">
        <v>1772997</v>
      </c>
      <c r="D46" s="10"/>
      <c r="E46" s="10">
        <v>5154552</v>
      </c>
      <c r="F46" s="10">
        <v>967060</v>
      </c>
      <c r="G46" s="10">
        <v>5149966</v>
      </c>
      <c r="H46" s="10">
        <v>1464207</v>
      </c>
      <c r="I46" s="10"/>
      <c r="J46" s="10">
        <v>44396</v>
      </c>
      <c r="K46" s="10">
        <v>951211</v>
      </c>
      <c r="L46" s="10">
        <v>303763</v>
      </c>
      <c r="M46" s="10">
        <v>13327028</v>
      </c>
      <c r="N46" s="10">
        <v>15048134</v>
      </c>
      <c r="O46" s="10">
        <v>2331759</v>
      </c>
      <c r="P46" s="10">
        <v>401452</v>
      </c>
      <c r="Q46" s="10">
        <v>580192</v>
      </c>
      <c r="R46" s="10">
        <v>245011</v>
      </c>
      <c r="S46" s="10">
        <v>1294754</v>
      </c>
      <c r="T46" s="10">
        <v>15922658.431060821</v>
      </c>
      <c r="U46" s="10">
        <v>93296</v>
      </c>
      <c r="V46" s="10">
        <v>3619807</v>
      </c>
      <c r="W46" s="10">
        <v>15419</v>
      </c>
      <c r="X46" s="10">
        <v>4128390</v>
      </c>
      <c r="Y46" s="10">
        <v>1070458</v>
      </c>
      <c r="Z46" s="10">
        <v>3087261</v>
      </c>
      <c r="AA46" s="10">
        <v>13854</v>
      </c>
      <c r="AB46" s="10"/>
      <c r="AC46" s="10">
        <v>4124208</v>
      </c>
      <c r="AD46" s="10">
        <v>23587277</v>
      </c>
      <c r="AE46" s="10">
        <v>15356478</v>
      </c>
      <c r="AF46" s="10">
        <v>17690170</v>
      </c>
      <c r="AG46" s="10">
        <v>555690</v>
      </c>
      <c r="AH46" s="10">
        <f t="shared" si="4"/>
        <v>138714407.43106082</v>
      </c>
    </row>
    <row r="47" spans="1:34" x14ac:dyDescent="0.25">
      <c r="A47" s="28" t="s">
        <v>285</v>
      </c>
      <c r="B47" s="10">
        <v>136066</v>
      </c>
      <c r="C47" s="10">
        <v>-1313575</v>
      </c>
      <c r="D47" s="10"/>
      <c r="E47" s="10">
        <v>4725010</v>
      </c>
      <c r="F47" s="10">
        <v>824312</v>
      </c>
      <c r="G47" s="10">
        <v>3346120</v>
      </c>
      <c r="H47" s="10">
        <v>812527</v>
      </c>
      <c r="I47" s="10"/>
      <c r="J47" s="10">
        <v>443392</v>
      </c>
      <c r="K47" s="10">
        <v>840496</v>
      </c>
      <c r="L47" s="10">
        <v>313942</v>
      </c>
      <c r="M47" s="10">
        <v>-8934078</v>
      </c>
      <c r="N47" s="10">
        <v>9113462</v>
      </c>
      <c r="O47" s="10">
        <v>2099583</v>
      </c>
      <c r="P47" s="10">
        <v>256499</v>
      </c>
      <c r="Q47" s="10">
        <v>481636</v>
      </c>
      <c r="R47" s="10">
        <v>-189376</v>
      </c>
      <c r="S47" s="10">
        <v>923866</v>
      </c>
      <c r="T47" s="10">
        <v>9201924.1258623935</v>
      </c>
      <c r="U47" s="10">
        <v>-91613</v>
      </c>
      <c r="V47" s="10">
        <v>2733618</v>
      </c>
      <c r="W47" s="10">
        <v>63202</v>
      </c>
      <c r="X47" s="10">
        <v>3170742</v>
      </c>
      <c r="Y47" s="10">
        <v>-924216</v>
      </c>
      <c r="Z47" s="10">
        <v>2442191</v>
      </c>
      <c r="AA47" s="10">
        <v>6912</v>
      </c>
      <c r="AB47" s="10"/>
      <c r="AC47" s="10">
        <v>2867957</v>
      </c>
      <c r="AD47" s="10">
        <v>17921671</v>
      </c>
      <c r="AE47" s="10">
        <v>10395577</v>
      </c>
      <c r="AF47" s="10">
        <v>14401963</v>
      </c>
      <c r="AG47" s="10">
        <v>323757</v>
      </c>
      <c r="AH47" s="10">
        <f t="shared" si="4"/>
        <v>76393567.12586239</v>
      </c>
    </row>
    <row r="48" spans="1:34" x14ac:dyDescent="0.25">
      <c r="A48" s="28" t="s">
        <v>310</v>
      </c>
      <c r="B48" s="10"/>
      <c r="C48" s="10"/>
      <c r="D48" s="10"/>
      <c r="E48" s="10">
        <v>5923270</v>
      </c>
      <c r="F48" s="10"/>
      <c r="G48" s="10">
        <v>5822793</v>
      </c>
      <c r="H48" s="10">
        <v>2512280</v>
      </c>
      <c r="I48" s="10"/>
      <c r="J48" s="10">
        <v>-79067</v>
      </c>
      <c r="K48" s="10"/>
      <c r="L48" s="10"/>
      <c r="M48" s="10">
        <v>12056943</v>
      </c>
      <c r="N48" s="10">
        <v>12586302</v>
      </c>
      <c r="O48" s="10">
        <v>5270108</v>
      </c>
      <c r="P48" s="10">
        <v>411003</v>
      </c>
      <c r="Q48" s="10">
        <v>640888</v>
      </c>
      <c r="R48" s="10">
        <v>159635</v>
      </c>
      <c r="S48" s="10">
        <v>1915430</v>
      </c>
      <c r="T48" s="10"/>
      <c r="U48" s="10">
        <v>11974</v>
      </c>
      <c r="V48" s="10">
        <v>3878950</v>
      </c>
      <c r="W48" s="10">
        <v>74594</v>
      </c>
      <c r="X48" s="10"/>
      <c r="Y48" s="10">
        <v>944972</v>
      </c>
      <c r="Z48" s="10"/>
      <c r="AA48" s="10"/>
      <c r="AB48" s="10"/>
      <c r="AC48" s="10">
        <v>2908638</v>
      </c>
      <c r="AD48" s="10">
        <v>39969031</v>
      </c>
      <c r="AE48" s="10">
        <v>19953657</v>
      </c>
      <c r="AF48" s="10">
        <v>19805331</v>
      </c>
      <c r="AG48" s="10">
        <v>746515</v>
      </c>
      <c r="AH48" s="10">
        <f t="shared" si="4"/>
        <v>135513247</v>
      </c>
    </row>
    <row r="49" spans="1:34" x14ac:dyDescent="0.25">
      <c r="A49" s="28" t="s">
        <v>311</v>
      </c>
      <c r="B49" s="10"/>
      <c r="C49" s="10"/>
      <c r="D49" s="10"/>
      <c r="E49" s="10"/>
      <c r="F49" s="10"/>
      <c r="G49" s="10">
        <v>66726</v>
      </c>
      <c r="H49" s="10"/>
      <c r="I49" s="10"/>
      <c r="J49" s="10">
        <v>13084</v>
      </c>
      <c r="K49" s="10"/>
      <c r="L49" s="10"/>
      <c r="M49" s="10"/>
      <c r="N49" s="10">
        <v>48970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>
        <v>0</v>
      </c>
      <c r="AE49" s="10">
        <v>0</v>
      </c>
      <c r="AF49" s="10">
        <v>161</v>
      </c>
      <c r="AG49" s="10"/>
      <c r="AH49" s="10">
        <f t="shared" si="4"/>
        <v>128941</v>
      </c>
    </row>
    <row r="50" spans="1:34" x14ac:dyDescent="0.25">
      <c r="A50" s="28" t="s">
        <v>312</v>
      </c>
      <c r="B50" s="10">
        <v>21348</v>
      </c>
      <c r="C50" s="10">
        <v>-229636</v>
      </c>
      <c r="D50" s="10"/>
      <c r="E50" s="10">
        <v>1179011</v>
      </c>
      <c r="F50" s="10">
        <v>33443</v>
      </c>
      <c r="G50" s="10">
        <v>1099570</v>
      </c>
      <c r="H50" s="10">
        <v>168537</v>
      </c>
      <c r="I50" s="10"/>
      <c r="J50" s="10">
        <v>-413430</v>
      </c>
      <c r="K50" s="10">
        <v>362358</v>
      </c>
      <c r="L50" s="10">
        <v>117302</v>
      </c>
      <c r="M50" s="10">
        <v>-1523439</v>
      </c>
      <c r="N50" s="10">
        <v>827560</v>
      </c>
      <c r="O50" s="10">
        <v>559405</v>
      </c>
      <c r="P50" s="10">
        <v>13523</v>
      </c>
      <c r="Q50" s="10">
        <v>31026</v>
      </c>
      <c r="R50" s="10">
        <v>-10895</v>
      </c>
      <c r="S50" s="10">
        <v>77208</v>
      </c>
      <c r="T50" s="10">
        <v>1258816.9369999999</v>
      </c>
      <c r="U50" s="10">
        <v>-755</v>
      </c>
      <c r="V50" s="10">
        <v>884705</v>
      </c>
      <c r="W50" s="10">
        <v>6119</v>
      </c>
      <c r="X50" s="10">
        <v>384459</v>
      </c>
      <c r="Y50" s="10">
        <v>-149289</v>
      </c>
      <c r="Z50" s="10">
        <v>128726</v>
      </c>
      <c r="AA50" s="10"/>
      <c r="AB50" s="10"/>
      <c r="AC50" s="10">
        <v>118812</v>
      </c>
      <c r="AD50" s="10">
        <v>2342985</v>
      </c>
      <c r="AE50" s="10">
        <v>1024750</v>
      </c>
      <c r="AF50" s="10">
        <v>1172723</v>
      </c>
      <c r="AG50" s="10">
        <v>25729</v>
      </c>
      <c r="AH50" s="10">
        <f t="shared" si="4"/>
        <v>9510671.936999999</v>
      </c>
    </row>
    <row r="51" spans="1:34" x14ac:dyDescent="0.25">
      <c r="A51" s="28" t="s">
        <v>280</v>
      </c>
      <c r="B51" s="10">
        <v>682504</v>
      </c>
      <c r="C51" s="10">
        <v>2394479</v>
      </c>
      <c r="D51" s="10"/>
      <c r="E51" s="10">
        <v>5286373</v>
      </c>
      <c r="F51" s="10">
        <v>702183</v>
      </c>
      <c r="G51" s="10">
        <v>4789949</v>
      </c>
      <c r="H51" s="10">
        <v>2343743</v>
      </c>
      <c r="I51" s="10"/>
      <c r="J51" s="10">
        <v>347447</v>
      </c>
      <c r="K51" s="10">
        <v>1240718</v>
      </c>
      <c r="L51" s="10">
        <v>365805</v>
      </c>
      <c r="M51" s="10">
        <v>10794752</v>
      </c>
      <c r="N51" s="10">
        <v>10382407</v>
      </c>
      <c r="O51" s="10">
        <v>4710703</v>
      </c>
      <c r="P51" s="10">
        <v>397480</v>
      </c>
      <c r="Q51" s="10">
        <v>581957</v>
      </c>
      <c r="R51" s="10">
        <v>142919</v>
      </c>
      <c r="S51" s="10">
        <v>1838222</v>
      </c>
      <c r="T51" s="10">
        <v>20184792.001198426</v>
      </c>
      <c r="U51" s="10">
        <v>13790</v>
      </c>
      <c r="V51" s="10">
        <v>2994245</v>
      </c>
      <c r="W51" s="10">
        <v>70666</v>
      </c>
      <c r="X51" s="10">
        <v>3109203</v>
      </c>
      <c r="Y51" s="10">
        <v>767273</v>
      </c>
      <c r="Z51" s="10">
        <v>3090855</v>
      </c>
      <c r="AA51" s="10">
        <v>6942</v>
      </c>
      <c r="AB51" s="10"/>
      <c r="AC51" s="10">
        <v>2789826</v>
      </c>
      <c r="AD51" s="10">
        <v>36315705</v>
      </c>
      <c r="AE51" s="10">
        <v>18928907</v>
      </c>
      <c r="AF51" s="10">
        <v>18632769</v>
      </c>
      <c r="AG51" s="10">
        <v>720786</v>
      </c>
      <c r="AH51" s="10">
        <f t="shared" si="4"/>
        <v>154627400.00119841</v>
      </c>
    </row>
    <row r="52" spans="1:34" x14ac:dyDescent="0.25">
      <c r="A52" s="18"/>
    </row>
    <row r="53" spans="1:34" x14ac:dyDescent="0.25">
      <c r="A53" s="35" t="s">
        <v>229</v>
      </c>
    </row>
    <row r="54" spans="1:34" x14ac:dyDescent="0.25">
      <c r="A54" s="3" t="s">
        <v>0</v>
      </c>
      <c r="B54" s="89" t="s">
        <v>1</v>
      </c>
      <c r="C54" s="89" t="s">
        <v>290</v>
      </c>
      <c r="D54" s="89" t="s">
        <v>3</v>
      </c>
      <c r="E54" s="89" t="s">
        <v>4</v>
      </c>
      <c r="F54" s="89" t="s">
        <v>5</v>
      </c>
      <c r="G54" s="89" t="s">
        <v>291</v>
      </c>
      <c r="H54" s="89" t="s">
        <v>292</v>
      </c>
      <c r="I54" s="89" t="s">
        <v>8</v>
      </c>
      <c r="J54" s="89" t="s">
        <v>7</v>
      </c>
      <c r="K54" s="89" t="s">
        <v>9</v>
      </c>
      <c r="L54" s="89" t="s">
        <v>288</v>
      </c>
      <c r="M54" s="89" t="s">
        <v>11</v>
      </c>
      <c r="N54" s="89" t="s">
        <v>12</v>
      </c>
      <c r="O54" s="89" t="s">
        <v>13</v>
      </c>
      <c r="P54" s="89" t="s">
        <v>14</v>
      </c>
      <c r="Q54" s="89" t="s">
        <v>15</v>
      </c>
      <c r="R54" s="89" t="s">
        <v>16</v>
      </c>
      <c r="S54" s="89" t="s">
        <v>293</v>
      </c>
      <c r="T54" s="92" t="s">
        <v>17</v>
      </c>
      <c r="U54" s="92" t="s">
        <v>294</v>
      </c>
      <c r="V54" s="92" t="s">
        <v>313</v>
      </c>
      <c r="W54" s="89" t="s">
        <v>289</v>
      </c>
      <c r="X54" s="89" t="s">
        <v>295</v>
      </c>
      <c r="Y54" s="89" t="s">
        <v>20</v>
      </c>
      <c r="Z54" s="89" t="s">
        <v>21</v>
      </c>
      <c r="AA54" s="89" t="s">
        <v>22</v>
      </c>
      <c r="AB54" s="89" t="s">
        <v>23</v>
      </c>
      <c r="AC54" s="89" t="s">
        <v>24</v>
      </c>
      <c r="AD54" s="88" t="s">
        <v>296</v>
      </c>
      <c r="AE54" s="88" t="s">
        <v>297</v>
      </c>
      <c r="AF54" s="88" t="s">
        <v>25</v>
      </c>
      <c r="AG54" s="89" t="s">
        <v>26</v>
      </c>
      <c r="AH54" s="67" t="s">
        <v>27</v>
      </c>
    </row>
    <row r="55" spans="1:34" x14ac:dyDescent="0.25">
      <c r="A55" s="28" t="s">
        <v>235</v>
      </c>
      <c r="B55" s="10">
        <v>3071</v>
      </c>
      <c r="C55" s="10">
        <v>30502</v>
      </c>
      <c r="D55" s="10"/>
      <c r="E55" s="10">
        <v>192563</v>
      </c>
      <c r="F55" s="10">
        <v>34986</v>
      </c>
      <c r="G55" s="10">
        <v>71882</v>
      </c>
      <c r="H55" s="10">
        <v>107543</v>
      </c>
      <c r="I55" s="10"/>
      <c r="J55" s="10">
        <v>3127</v>
      </c>
      <c r="K55" s="10">
        <v>53609</v>
      </c>
      <c r="L55" s="10">
        <v>1320</v>
      </c>
      <c r="M55" s="10">
        <v>309065</v>
      </c>
      <c r="N55" s="10">
        <v>317121</v>
      </c>
      <c r="O55" s="10">
        <v>105763</v>
      </c>
      <c r="P55" s="10">
        <v>10317</v>
      </c>
      <c r="Q55" s="10">
        <v>18835</v>
      </c>
      <c r="R55" s="10">
        <v>4349</v>
      </c>
      <c r="S55" s="10">
        <v>1583</v>
      </c>
      <c r="T55" s="10">
        <v>349059.36700000003</v>
      </c>
      <c r="U55" s="10">
        <v>1391</v>
      </c>
      <c r="V55" s="10">
        <v>31543</v>
      </c>
      <c r="W55" s="10">
        <v>31127</v>
      </c>
      <c r="X55" s="10">
        <v>66784</v>
      </c>
      <c r="Y55" s="10">
        <v>37184</v>
      </c>
      <c r="Z55" s="10">
        <v>400057</v>
      </c>
      <c r="AA55" s="10">
        <v>19504</v>
      </c>
      <c r="AB55" s="10"/>
      <c r="AC55" s="10">
        <v>110702</v>
      </c>
      <c r="AD55" s="10">
        <v>2896095</v>
      </c>
      <c r="AE55" s="10">
        <v>366728</v>
      </c>
      <c r="AF55" s="10">
        <v>954593</v>
      </c>
      <c r="AG55" s="10">
        <v>285827</v>
      </c>
      <c r="AH55" s="10">
        <f t="shared" ref="AH55:AH61" si="5">SUM(B55:AG55)</f>
        <v>6816230.3670000006</v>
      </c>
    </row>
    <row r="56" spans="1:34" x14ac:dyDescent="0.25">
      <c r="A56" s="28" t="s">
        <v>286</v>
      </c>
      <c r="B56" s="10">
        <v>7871</v>
      </c>
      <c r="C56" s="10">
        <v>298440</v>
      </c>
      <c r="D56" s="10"/>
      <c r="E56" s="10">
        <v>2146439</v>
      </c>
      <c r="F56" s="10">
        <v>171672</v>
      </c>
      <c r="G56" s="10">
        <v>535447</v>
      </c>
      <c r="H56" s="10">
        <v>380215</v>
      </c>
      <c r="I56" s="10"/>
      <c r="J56" s="10">
        <v>3795</v>
      </c>
      <c r="K56" s="10">
        <v>265362</v>
      </c>
      <c r="L56" s="10">
        <v>37158</v>
      </c>
      <c r="M56" s="10">
        <v>3378083</v>
      </c>
      <c r="N56" s="10">
        <v>3598668</v>
      </c>
      <c r="O56" s="10">
        <v>460960</v>
      </c>
      <c r="P56" s="10">
        <v>28109</v>
      </c>
      <c r="Q56" s="10">
        <v>161827</v>
      </c>
      <c r="R56" s="10">
        <v>39310</v>
      </c>
      <c r="S56" s="10">
        <v>45535</v>
      </c>
      <c r="T56" s="10">
        <v>2279876.0356748891</v>
      </c>
      <c r="U56" s="10">
        <v>69669</v>
      </c>
      <c r="V56" s="10">
        <v>101575</v>
      </c>
      <c r="W56" s="10">
        <v>1523</v>
      </c>
      <c r="X56" s="10">
        <v>464470</v>
      </c>
      <c r="Y56" s="10">
        <v>327300</v>
      </c>
      <c r="Z56" s="10">
        <v>5105796</v>
      </c>
      <c r="AA56" s="10">
        <v>52489</v>
      </c>
      <c r="AB56" s="10"/>
      <c r="AC56" s="10">
        <v>830087</v>
      </c>
      <c r="AD56" s="10">
        <v>3663855</v>
      </c>
      <c r="AE56" s="10">
        <v>2156198</v>
      </c>
      <c r="AF56" s="10">
        <v>6537709</v>
      </c>
      <c r="AG56" s="10">
        <v>962577</v>
      </c>
      <c r="AH56" s="10">
        <f t="shared" si="5"/>
        <v>34112015.035674885</v>
      </c>
    </row>
    <row r="57" spans="1:34" x14ac:dyDescent="0.25">
      <c r="A57" s="28" t="s">
        <v>285</v>
      </c>
      <c r="B57" s="10">
        <v>6624</v>
      </c>
      <c r="C57" s="10">
        <v>-307952</v>
      </c>
      <c r="D57" s="10"/>
      <c r="E57" s="10">
        <v>1603102</v>
      </c>
      <c r="F57" s="10">
        <v>172030</v>
      </c>
      <c r="G57" s="10">
        <v>492688</v>
      </c>
      <c r="H57" s="10">
        <v>360836</v>
      </c>
      <c r="I57" s="10"/>
      <c r="J57" s="10">
        <v>31106</v>
      </c>
      <c r="K57" s="10">
        <v>305496</v>
      </c>
      <c r="L57" s="10">
        <v>50180</v>
      </c>
      <c r="M57" s="10">
        <v>-3121849</v>
      </c>
      <c r="N57" s="10">
        <v>3747273</v>
      </c>
      <c r="O57" s="10">
        <v>392158</v>
      </c>
      <c r="P57" s="10">
        <v>41042</v>
      </c>
      <c r="Q57" s="10">
        <v>153251</v>
      </c>
      <c r="R57" s="10">
        <v>-40953</v>
      </c>
      <c r="S57" s="10">
        <v>45785</v>
      </c>
      <c r="T57" s="10">
        <v>2230060.196358881</v>
      </c>
      <c r="U57" s="10">
        <v>-57906</v>
      </c>
      <c r="V57" s="10">
        <v>155004</v>
      </c>
      <c r="W57" s="10">
        <v>6548</v>
      </c>
      <c r="X57" s="10">
        <v>395037</v>
      </c>
      <c r="Y57" s="10">
        <v>-329313</v>
      </c>
      <c r="Z57" s="10">
        <v>4622642</v>
      </c>
      <c r="AA57" s="10">
        <v>46089</v>
      </c>
      <c r="AB57" s="10"/>
      <c r="AC57" s="10">
        <v>845405</v>
      </c>
      <c r="AD57" s="10">
        <v>2989658</v>
      </c>
      <c r="AE57" s="10">
        <v>2055819</v>
      </c>
      <c r="AF57" s="10">
        <v>6607601</v>
      </c>
      <c r="AG57" s="10">
        <v>1258699</v>
      </c>
      <c r="AH57" s="10">
        <f t="shared" si="5"/>
        <v>24756160.196358882</v>
      </c>
    </row>
    <row r="58" spans="1:34" x14ac:dyDescent="0.25">
      <c r="A58" s="28" t="s">
        <v>310</v>
      </c>
      <c r="B58" s="10"/>
      <c r="C58" s="10"/>
      <c r="D58" s="10"/>
      <c r="E58" s="10">
        <v>735900</v>
      </c>
      <c r="F58" s="10"/>
      <c r="G58" s="10">
        <v>114641</v>
      </c>
      <c r="H58" s="10">
        <v>126922</v>
      </c>
      <c r="I58" s="10"/>
      <c r="J58" s="10">
        <v>-24184</v>
      </c>
      <c r="K58" s="10"/>
      <c r="L58" s="10"/>
      <c r="M58" s="10">
        <v>565299</v>
      </c>
      <c r="N58" s="10">
        <v>168516</v>
      </c>
      <c r="O58" s="10">
        <v>174565</v>
      </c>
      <c r="P58" s="10">
        <v>-2616</v>
      </c>
      <c r="Q58" s="10">
        <v>27411</v>
      </c>
      <c r="R58" s="10">
        <v>2706</v>
      </c>
      <c r="S58" s="10">
        <v>1334</v>
      </c>
      <c r="T58" s="10"/>
      <c r="U58" s="10">
        <v>13153</v>
      </c>
      <c r="V58" s="10">
        <v>-21886</v>
      </c>
      <c r="W58" s="10">
        <v>26102</v>
      </c>
      <c r="X58" s="10"/>
      <c r="Y58" s="10">
        <v>35170</v>
      </c>
      <c r="Z58" s="10"/>
      <c r="AA58" s="10"/>
      <c r="AB58" s="10"/>
      <c r="AC58" s="10">
        <v>95384</v>
      </c>
      <c r="AD58" s="10">
        <v>3570291</v>
      </c>
      <c r="AE58" s="10">
        <v>467107</v>
      </c>
      <c r="AF58" s="10">
        <v>884701</v>
      </c>
      <c r="AG58" s="10">
        <v>-10295</v>
      </c>
      <c r="AH58" s="10">
        <f t="shared" si="5"/>
        <v>6950221</v>
      </c>
    </row>
    <row r="59" spans="1:34" x14ac:dyDescent="0.25">
      <c r="A59" s="28" t="s">
        <v>311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>
        <v>9580</v>
      </c>
      <c r="AE59" s="10">
        <v>-6314</v>
      </c>
      <c r="AF59" s="10">
        <v>11626</v>
      </c>
      <c r="AG59" s="10"/>
      <c r="AH59" s="10">
        <f t="shared" si="5"/>
        <v>14892</v>
      </c>
    </row>
    <row r="60" spans="1:34" x14ac:dyDescent="0.25">
      <c r="A60" s="28" t="s">
        <v>312</v>
      </c>
      <c r="B60" s="10">
        <v>154</v>
      </c>
      <c r="C60" s="10">
        <v>-2959</v>
      </c>
      <c r="D60" s="10"/>
      <c r="E60" s="10">
        <v>12287</v>
      </c>
      <c r="F60" s="10">
        <v>1943</v>
      </c>
      <c r="G60" s="10">
        <v>12134</v>
      </c>
      <c r="H60" s="10">
        <v>24029</v>
      </c>
      <c r="I60" s="10"/>
      <c r="J60" s="10">
        <v>-26789</v>
      </c>
      <c r="K60" s="10">
        <v>7714</v>
      </c>
      <c r="L60" s="10">
        <v>66</v>
      </c>
      <c r="M60" s="10">
        <v>-116569</v>
      </c>
      <c r="N60" s="10">
        <v>42049</v>
      </c>
      <c r="O60" s="10">
        <v>9032</v>
      </c>
      <c r="P60" s="10">
        <v>5944</v>
      </c>
      <c r="Q60" s="10">
        <v>2735</v>
      </c>
      <c r="R60" s="10">
        <v>-217</v>
      </c>
      <c r="S60" s="10">
        <v>99</v>
      </c>
      <c r="T60" s="10">
        <v>30608.418000000001</v>
      </c>
      <c r="U60" s="10">
        <v>-562</v>
      </c>
      <c r="V60" s="10">
        <v>1071</v>
      </c>
      <c r="W60" s="10">
        <v>23734</v>
      </c>
      <c r="X60" s="10">
        <v>20073</v>
      </c>
      <c r="Y60" s="10">
        <v>-3825</v>
      </c>
      <c r="Z60" s="10">
        <v>20660</v>
      </c>
      <c r="AA60" s="10">
        <v>17173</v>
      </c>
      <c r="AB60" s="10"/>
      <c r="AC60" s="10">
        <v>5692</v>
      </c>
      <c r="AD60" s="10">
        <v>150218</v>
      </c>
      <c r="AE60" s="10">
        <v>45762</v>
      </c>
      <c r="AF60" s="10">
        <v>579992</v>
      </c>
      <c r="AG60" s="10">
        <v>41060</v>
      </c>
      <c r="AH60" s="10">
        <f t="shared" si="5"/>
        <v>903308.41800000006</v>
      </c>
    </row>
    <row r="61" spans="1:34" x14ac:dyDescent="0.25">
      <c r="A61" s="28" t="s">
        <v>280</v>
      </c>
      <c r="B61" s="10">
        <v>4164</v>
      </c>
      <c r="C61" s="10">
        <v>18031</v>
      </c>
      <c r="D61" s="10"/>
      <c r="E61" s="10">
        <v>213499</v>
      </c>
      <c r="F61" s="10">
        <v>32685</v>
      </c>
      <c r="G61" s="10">
        <v>102507</v>
      </c>
      <c r="H61" s="10">
        <v>102893</v>
      </c>
      <c r="I61" s="10"/>
      <c r="J61" s="10">
        <v>2605</v>
      </c>
      <c r="K61" s="10">
        <v>5761</v>
      </c>
      <c r="L61" s="10">
        <v>-11768</v>
      </c>
      <c r="M61" s="10">
        <v>405903</v>
      </c>
      <c r="N61" s="10">
        <v>339234</v>
      </c>
      <c r="O61" s="10">
        <v>165533</v>
      </c>
      <c r="P61" s="10">
        <v>-8560</v>
      </c>
      <c r="Q61" s="10">
        <v>26042</v>
      </c>
      <c r="R61" s="10">
        <v>2977</v>
      </c>
      <c r="S61" s="10">
        <v>1234</v>
      </c>
      <c r="T61" s="10">
        <v>368266.78831600817</v>
      </c>
      <c r="U61" s="10">
        <v>6110</v>
      </c>
      <c r="V61" s="10">
        <v>-22957</v>
      </c>
      <c r="W61" s="10">
        <v>6139</v>
      </c>
      <c r="X61" s="10">
        <v>116144</v>
      </c>
      <c r="Y61" s="10">
        <v>31099</v>
      </c>
      <c r="Z61" s="10">
        <v>862551</v>
      </c>
      <c r="AA61" s="10">
        <v>8731</v>
      </c>
      <c r="AB61" s="10"/>
      <c r="AC61" s="10">
        <v>89692</v>
      </c>
      <c r="AD61" s="10">
        <v>3385691</v>
      </c>
      <c r="AE61" s="10">
        <v>415031</v>
      </c>
      <c r="AF61" s="10">
        <v>316335</v>
      </c>
      <c r="AG61" s="10">
        <v>-51355</v>
      </c>
      <c r="AH61" s="10">
        <f t="shared" si="5"/>
        <v>6934217.7883160077</v>
      </c>
    </row>
    <row r="62" spans="1:34" x14ac:dyDescent="0.25">
      <c r="A62" s="18"/>
    </row>
    <row r="63" spans="1:34" x14ac:dyDescent="0.25">
      <c r="A63" s="35" t="s">
        <v>306</v>
      </c>
    </row>
    <row r="64" spans="1:34" x14ac:dyDescent="0.25">
      <c r="A64" s="3" t="s">
        <v>0</v>
      </c>
      <c r="B64" s="89" t="s">
        <v>1</v>
      </c>
      <c r="C64" s="89" t="s">
        <v>290</v>
      </c>
      <c r="D64" s="89" t="s">
        <v>3</v>
      </c>
      <c r="E64" s="89" t="s">
        <v>4</v>
      </c>
      <c r="F64" s="89" t="s">
        <v>5</v>
      </c>
      <c r="G64" s="89" t="s">
        <v>291</v>
      </c>
      <c r="H64" s="89" t="s">
        <v>292</v>
      </c>
      <c r="I64" s="89" t="s">
        <v>8</v>
      </c>
      <c r="J64" s="89" t="s">
        <v>7</v>
      </c>
      <c r="K64" s="89" t="s">
        <v>9</v>
      </c>
      <c r="L64" s="89" t="s">
        <v>288</v>
      </c>
      <c r="M64" s="89" t="s">
        <v>11</v>
      </c>
      <c r="N64" s="89" t="s">
        <v>12</v>
      </c>
      <c r="O64" s="89" t="s">
        <v>13</v>
      </c>
      <c r="P64" s="89" t="s">
        <v>14</v>
      </c>
      <c r="Q64" s="89" t="s">
        <v>15</v>
      </c>
      <c r="R64" s="89" t="s">
        <v>16</v>
      </c>
      <c r="S64" s="89" t="s">
        <v>293</v>
      </c>
      <c r="T64" s="92" t="s">
        <v>17</v>
      </c>
      <c r="U64" s="92" t="s">
        <v>294</v>
      </c>
      <c r="V64" s="92" t="s">
        <v>313</v>
      </c>
      <c r="W64" s="89" t="s">
        <v>289</v>
      </c>
      <c r="X64" s="89" t="s">
        <v>295</v>
      </c>
      <c r="Y64" s="89" t="s">
        <v>20</v>
      </c>
      <c r="Z64" s="89" t="s">
        <v>21</v>
      </c>
      <c r="AA64" s="89" t="s">
        <v>22</v>
      </c>
      <c r="AB64" s="89" t="s">
        <v>23</v>
      </c>
      <c r="AC64" s="89" t="s">
        <v>24</v>
      </c>
      <c r="AD64" s="88" t="s">
        <v>296</v>
      </c>
      <c r="AE64" s="88" t="s">
        <v>297</v>
      </c>
      <c r="AF64" s="88" t="s">
        <v>25</v>
      </c>
      <c r="AG64" s="89" t="s">
        <v>26</v>
      </c>
      <c r="AH64" s="67" t="s">
        <v>27</v>
      </c>
    </row>
    <row r="65" spans="1:34" x14ac:dyDescent="0.25">
      <c r="A65" s="28" t="s">
        <v>235</v>
      </c>
      <c r="B65" s="10"/>
      <c r="C65" s="10"/>
      <c r="D65" s="10"/>
      <c r="E65" s="10">
        <v>1675638</v>
      </c>
      <c r="F65" s="10">
        <v>309696</v>
      </c>
      <c r="G65" s="10"/>
      <c r="H65" s="10">
        <v>7</v>
      </c>
      <c r="I65" s="10"/>
      <c r="J65" s="10"/>
      <c r="K65" s="10">
        <v>265306</v>
      </c>
      <c r="L65" s="10">
        <v>10</v>
      </c>
      <c r="M65" s="10">
        <v>5746903</v>
      </c>
      <c r="N65" s="10">
        <v>296590</v>
      </c>
      <c r="O65" s="10">
        <v>835299</v>
      </c>
      <c r="P65" s="10"/>
      <c r="Q65" s="10"/>
      <c r="R65" s="10"/>
      <c r="S65" s="10"/>
      <c r="T65" s="10">
        <v>141720.68900000001</v>
      </c>
      <c r="U65" s="10"/>
      <c r="V65" s="10"/>
      <c r="W65" s="10"/>
      <c r="X65" s="10">
        <v>1968446</v>
      </c>
      <c r="Y65" s="10"/>
      <c r="Z65" s="10">
        <v>8787292</v>
      </c>
      <c r="AA65" s="10"/>
      <c r="AB65" s="10"/>
      <c r="AC65" s="10"/>
      <c r="AD65" s="10">
        <v>1000200</v>
      </c>
      <c r="AE65" s="10"/>
      <c r="AF65" s="10">
        <v>901413</v>
      </c>
      <c r="AG65" s="10">
        <v>1835621</v>
      </c>
      <c r="AH65" s="10">
        <f t="shared" ref="AH65:AH71" si="6">SUM(B65:AG65)</f>
        <v>23764141.688999999</v>
      </c>
    </row>
    <row r="66" spans="1:34" x14ac:dyDescent="0.25">
      <c r="A66" s="28" t="s">
        <v>286</v>
      </c>
      <c r="B66" s="10"/>
      <c r="C66" s="10"/>
      <c r="D66" s="10"/>
      <c r="E66" s="10">
        <v>3940237</v>
      </c>
      <c r="F66" s="10">
        <v>835174</v>
      </c>
      <c r="G66" s="10"/>
      <c r="H66" s="10">
        <v>59489</v>
      </c>
      <c r="I66" s="10"/>
      <c r="J66" s="10"/>
      <c r="K66" s="10">
        <v>845848</v>
      </c>
      <c r="L66" s="10">
        <v>106018</v>
      </c>
      <c r="M66" s="10">
        <v>11829374</v>
      </c>
      <c r="N66" s="10">
        <v>4098750</v>
      </c>
      <c r="O66" s="10">
        <v>2224119</v>
      </c>
      <c r="P66" s="10"/>
      <c r="Q66" s="10"/>
      <c r="R66" s="10"/>
      <c r="S66" s="10"/>
      <c r="T66" s="10">
        <v>9728263.9204723295</v>
      </c>
      <c r="U66" s="10"/>
      <c r="V66" s="10"/>
      <c r="W66" s="10"/>
      <c r="X66" s="10">
        <v>4886308</v>
      </c>
      <c r="Y66" s="10"/>
      <c r="Z66" s="10">
        <v>3059248</v>
      </c>
      <c r="AA66" s="10"/>
      <c r="AB66" s="10"/>
      <c r="AC66" s="10"/>
      <c r="AD66" s="10">
        <v>15203159</v>
      </c>
      <c r="AE66" s="10"/>
      <c r="AF66" s="10">
        <v>11246039</v>
      </c>
      <c r="AG66" s="10">
        <v>1732639</v>
      </c>
      <c r="AH66" s="10">
        <f t="shared" si="6"/>
        <v>69794665.920472324</v>
      </c>
    </row>
    <row r="67" spans="1:34" x14ac:dyDescent="0.25">
      <c r="A67" s="28" t="s">
        <v>285</v>
      </c>
      <c r="B67" s="10"/>
      <c r="C67" s="10"/>
      <c r="D67" s="10"/>
      <c r="E67" s="10">
        <v>12861222</v>
      </c>
      <c r="F67" s="10">
        <v>881101</v>
      </c>
      <c r="G67" s="10"/>
      <c r="H67" s="10">
        <v>59326</v>
      </c>
      <c r="I67" s="10"/>
      <c r="J67" s="10"/>
      <c r="K67" s="10">
        <v>933281</v>
      </c>
      <c r="L67" s="10">
        <v>155695</v>
      </c>
      <c r="M67" s="10">
        <v>-21507898</v>
      </c>
      <c r="N67" s="10">
        <v>4395230</v>
      </c>
      <c r="O67" s="10">
        <v>2461608</v>
      </c>
      <c r="P67" s="10"/>
      <c r="Q67" s="10"/>
      <c r="R67" s="10"/>
      <c r="S67" s="10"/>
      <c r="T67" s="10">
        <v>10290898.364277693</v>
      </c>
      <c r="U67" s="10"/>
      <c r="V67" s="10"/>
      <c r="W67" s="10"/>
      <c r="X67" s="10">
        <v>4828622</v>
      </c>
      <c r="Y67" s="10"/>
      <c r="Z67" s="10">
        <v>4788678</v>
      </c>
      <c r="AA67" s="10"/>
      <c r="AB67" s="10"/>
      <c r="AC67" s="10"/>
      <c r="AD67" s="10">
        <v>16310288</v>
      </c>
      <c r="AE67" s="10"/>
      <c r="AF67" s="10">
        <v>12800930</v>
      </c>
      <c r="AG67" s="10">
        <v>2117494</v>
      </c>
      <c r="AH67" s="10">
        <f t="shared" si="6"/>
        <v>51376475.364277691</v>
      </c>
    </row>
    <row r="68" spans="1:34" x14ac:dyDescent="0.25">
      <c r="A68" s="28" t="s">
        <v>310</v>
      </c>
      <c r="B68" s="10"/>
      <c r="C68" s="10"/>
      <c r="D68" s="10"/>
      <c r="E68" s="10">
        <v>-7245347</v>
      </c>
      <c r="F68" s="10"/>
      <c r="G68" s="10"/>
      <c r="H68" s="10">
        <v>170</v>
      </c>
      <c r="I68" s="10"/>
      <c r="J68" s="10"/>
      <c r="K68" s="10"/>
      <c r="L68" s="10"/>
      <c r="M68" s="10">
        <v>-3931621</v>
      </c>
      <c r="N68" s="10">
        <v>110</v>
      </c>
      <c r="O68" s="10">
        <v>597810</v>
      </c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>
        <v>-106929</v>
      </c>
      <c r="AE68" s="10"/>
      <c r="AF68" s="10">
        <v>-653478</v>
      </c>
      <c r="AG68" s="10">
        <v>1450766</v>
      </c>
      <c r="AH68" s="10">
        <f t="shared" si="6"/>
        <v>-9888519</v>
      </c>
    </row>
    <row r="69" spans="1:34" x14ac:dyDescent="0.25">
      <c r="A69" s="28" t="s">
        <v>311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>
        <v>7620</v>
      </c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>
        <v>0</v>
      </c>
      <c r="AE69" s="10"/>
      <c r="AF69" s="10">
        <v>-74595</v>
      </c>
      <c r="AG69" s="10"/>
      <c r="AH69" s="10">
        <f t="shared" si="6"/>
        <v>-66975</v>
      </c>
    </row>
    <row r="70" spans="1:34" x14ac:dyDescent="0.25">
      <c r="A70" s="28" t="s">
        <v>312</v>
      </c>
      <c r="B70" s="10"/>
      <c r="C70" s="10"/>
      <c r="D70" s="10"/>
      <c r="E70" s="10">
        <v>1308088</v>
      </c>
      <c r="F70" s="10">
        <v>241557</v>
      </c>
      <c r="G70" s="10"/>
      <c r="H70" s="10">
        <v>6</v>
      </c>
      <c r="I70" s="10"/>
      <c r="J70" s="10"/>
      <c r="K70" s="10">
        <v>204685</v>
      </c>
      <c r="L70" s="10">
        <v>2120</v>
      </c>
      <c r="M70" s="10">
        <v>-4572042</v>
      </c>
      <c r="N70" s="10">
        <v>289542</v>
      </c>
      <c r="O70" s="10">
        <v>626553</v>
      </c>
      <c r="P70" s="10"/>
      <c r="Q70" s="10"/>
      <c r="R70" s="10"/>
      <c r="S70" s="10"/>
      <c r="T70" s="10">
        <v>59222.472999999998</v>
      </c>
      <c r="U70" s="10"/>
      <c r="V70" s="10"/>
      <c r="W70" s="10"/>
      <c r="X70" s="10">
        <v>1477093</v>
      </c>
      <c r="Y70" s="10"/>
      <c r="Z70" s="10">
        <v>6825051</v>
      </c>
      <c r="AA70" s="10"/>
      <c r="AB70" s="10"/>
      <c r="AC70" s="10"/>
      <c r="AD70" s="10">
        <v>851836</v>
      </c>
      <c r="AE70" s="10"/>
      <c r="AF70" s="10">
        <v>-1290036</v>
      </c>
      <c r="AG70" s="10">
        <v>1429575</v>
      </c>
      <c r="AH70" s="10">
        <f t="shared" si="6"/>
        <v>7453250.4730000002</v>
      </c>
    </row>
    <row r="71" spans="1:34" x14ac:dyDescent="0.25">
      <c r="A71" s="28" t="s">
        <v>280</v>
      </c>
      <c r="B71" s="10"/>
      <c r="C71" s="10"/>
      <c r="D71" s="10"/>
      <c r="E71" s="10">
        <v>-480674</v>
      </c>
      <c r="F71" s="10">
        <v>22212</v>
      </c>
      <c r="G71" s="10"/>
      <c r="H71" s="10">
        <v>164</v>
      </c>
      <c r="I71" s="10"/>
      <c r="J71" s="10"/>
      <c r="K71" s="10">
        <v>-26811</v>
      </c>
      <c r="L71" s="10">
        <v>-44177</v>
      </c>
      <c r="M71" s="10">
        <v>-764063</v>
      </c>
      <c r="N71" s="10">
        <v>66</v>
      </c>
      <c r="O71" s="10">
        <v>-28743</v>
      </c>
      <c r="P71" s="10"/>
      <c r="Q71" s="10"/>
      <c r="R71" s="10"/>
      <c r="S71" s="10"/>
      <c r="T71" s="10">
        <v>-480136.22780536301</v>
      </c>
      <c r="U71" s="10"/>
      <c r="V71" s="10"/>
      <c r="W71" s="10"/>
      <c r="X71" s="10">
        <v>549039</v>
      </c>
      <c r="Y71" s="10"/>
      <c r="Z71" s="10">
        <v>232811</v>
      </c>
      <c r="AA71" s="10"/>
      <c r="AB71" s="10"/>
      <c r="AC71" s="10"/>
      <c r="AD71" s="10">
        <v>48224</v>
      </c>
      <c r="AE71" s="10"/>
      <c r="AF71" s="10">
        <v>561963</v>
      </c>
      <c r="AG71" s="10">
        <v>21191</v>
      </c>
      <c r="AH71" s="10">
        <f t="shared" si="6"/>
        <v>-388934.22780536301</v>
      </c>
    </row>
    <row r="72" spans="1:34" x14ac:dyDescent="0.25">
      <c r="A72" s="36"/>
    </row>
    <row r="73" spans="1:34" x14ac:dyDescent="0.25">
      <c r="A73" s="37" t="s">
        <v>230</v>
      </c>
    </row>
    <row r="74" spans="1:34" x14ac:dyDescent="0.25">
      <c r="A74" s="3" t="s">
        <v>0</v>
      </c>
      <c r="B74" s="89" t="s">
        <v>1</v>
      </c>
      <c r="C74" s="89" t="s">
        <v>290</v>
      </c>
      <c r="D74" s="89" t="s">
        <v>3</v>
      </c>
      <c r="E74" s="89" t="s">
        <v>4</v>
      </c>
      <c r="F74" s="89" t="s">
        <v>5</v>
      </c>
      <c r="G74" s="89" t="s">
        <v>291</v>
      </c>
      <c r="H74" s="89" t="s">
        <v>292</v>
      </c>
      <c r="I74" s="89" t="s">
        <v>8</v>
      </c>
      <c r="J74" s="89" t="s">
        <v>7</v>
      </c>
      <c r="K74" s="89" t="s">
        <v>9</v>
      </c>
      <c r="L74" s="89" t="s">
        <v>288</v>
      </c>
      <c r="M74" s="89" t="s">
        <v>11</v>
      </c>
      <c r="N74" s="89" t="s">
        <v>12</v>
      </c>
      <c r="O74" s="89" t="s">
        <v>13</v>
      </c>
      <c r="P74" s="89" t="s">
        <v>14</v>
      </c>
      <c r="Q74" s="89" t="s">
        <v>15</v>
      </c>
      <c r="R74" s="89" t="s">
        <v>16</v>
      </c>
      <c r="S74" s="89" t="s">
        <v>293</v>
      </c>
      <c r="T74" s="92" t="s">
        <v>17</v>
      </c>
      <c r="U74" s="92" t="s">
        <v>294</v>
      </c>
      <c r="V74" s="92" t="s">
        <v>313</v>
      </c>
      <c r="W74" s="89" t="s">
        <v>289</v>
      </c>
      <c r="X74" s="89" t="s">
        <v>295</v>
      </c>
      <c r="Y74" s="89" t="s">
        <v>20</v>
      </c>
      <c r="Z74" s="89" t="s">
        <v>21</v>
      </c>
      <c r="AA74" s="89" t="s">
        <v>22</v>
      </c>
      <c r="AB74" s="89" t="s">
        <v>23</v>
      </c>
      <c r="AC74" s="89" t="s">
        <v>24</v>
      </c>
      <c r="AD74" s="88" t="s">
        <v>296</v>
      </c>
      <c r="AE74" s="88" t="s">
        <v>297</v>
      </c>
      <c r="AF74" s="88" t="s">
        <v>25</v>
      </c>
      <c r="AG74" s="89" t="s">
        <v>26</v>
      </c>
      <c r="AH74" s="67" t="s">
        <v>27</v>
      </c>
    </row>
    <row r="75" spans="1:34" x14ac:dyDescent="0.25">
      <c r="A75" s="28" t="s">
        <v>235</v>
      </c>
      <c r="B75" s="10"/>
      <c r="C75" s="10"/>
      <c r="D75" s="10"/>
      <c r="E75" s="10">
        <v>18554</v>
      </c>
      <c r="F75" s="10"/>
      <c r="G75" s="10"/>
      <c r="H75" s="10"/>
      <c r="I75" s="10"/>
      <c r="J75" s="10"/>
      <c r="K75" s="10"/>
      <c r="L75" s="10"/>
      <c r="M75" s="10">
        <v>67</v>
      </c>
      <c r="N75" s="10">
        <v>213155</v>
      </c>
      <c r="O75" s="10"/>
      <c r="P75" s="10"/>
      <c r="Q75" s="10"/>
      <c r="R75" s="10"/>
      <c r="S75" s="10"/>
      <c r="T75" s="10">
        <v>107.04</v>
      </c>
      <c r="U75" s="10"/>
      <c r="V75" s="10"/>
      <c r="W75" s="10"/>
      <c r="X75" s="10">
        <v>8062</v>
      </c>
      <c r="Y75" s="10"/>
      <c r="Z75" s="10"/>
      <c r="AA75" s="10"/>
      <c r="AB75" s="10"/>
      <c r="AC75" s="10"/>
      <c r="AD75" s="10">
        <v>341672</v>
      </c>
      <c r="AE75" s="10">
        <v>33113</v>
      </c>
      <c r="AF75" s="10">
        <v>177972</v>
      </c>
      <c r="AG75" s="10"/>
      <c r="AH75" s="10">
        <f t="shared" ref="AH75:AH81" si="7">SUM(B75:AG75)</f>
        <v>792702.04</v>
      </c>
    </row>
    <row r="76" spans="1:34" x14ac:dyDescent="0.25">
      <c r="A76" s="28" t="s">
        <v>286</v>
      </c>
      <c r="B76" s="10"/>
      <c r="C76" s="10"/>
      <c r="D76" s="10"/>
      <c r="E76" s="10">
        <v>262375</v>
      </c>
      <c r="F76" s="10"/>
      <c r="G76" s="10"/>
      <c r="H76" s="10"/>
      <c r="I76" s="10"/>
      <c r="J76" s="10"/>
      <c r="K76" s="10">
        <v>21745</v>
      </c>
      <c r="L76" s="10"/>
      <c r="M76" s="10">
        <v>1011854</v>
      </c>
      <c r="N76" s="10">
        <v>1830922</v>
      </c>
      <c r="O76" s="10"/>
      <c r="P76" s="10"/>
      <c r="Q76" s="10"/>
      <c r="R76" s="10"/>
      <c r="S76" s="10"/>
      <c r="T76" s="10">
        <v>1404775.8546576535</v>
      </c>
      <c r="U76" s="10"/>
      <c r="V76" s="10"/>
      <c r="W76" s="10"/>
      <c r="X76" s="10">
        <v>57908</v>
      </c>
      <c r="Y76" s="10"/>
      <c r="Z76" s="10">
        <v>158</v>
      </c>
      <c r="AA76" s="10"/>
      <c r="AB76" s="10"/>
      <c r="AC76" s="10">
        <v>213</v>
      </c>
      <c r="AD76" s="10">
        <v>2587741</v>
      </c>
      <c r="AE76" s="10">
        <v>1495075</v>
      </c>
      <c r="AF76" s="10">
        <v>2016597</v>
      </c>
      <c r="AG76" s="10"/>
      <c r="AH76" s="10">
        <f t="shared" si="7"/>
        <v>10689363.854657654</v>
      </c>
    </row>
    <row r="77" spans="1:34" x14ac:dyDescent="0.25">
      <c r="A77" s="28" t="s">
        <v>285</v>
      </c>
      <c r="B77" s="10"/>
      <c r="C77" s="10"/>
      <c r="D77" s="10"/>
      <c r="E77" s="10">
        <v>754553</v>
      </c>
      <c r="F77" s="10"/>
      <c r="G77" s="10"/>
      <c r="H77" s="10"/>
      <c r="I77" s="10"/>
      <c r="J77" s="10"/>
      <c r="K77" s="10">
        <v>15079</v>
      </c>
      <c r="L77" s="10"/>
      <c r="M77" s="10">
        <v>-1015534</v>
      </c>
      <c r="N77" s="10">
        <v>1523752</v>
      </c>
      <c r="O77" s="10"/>
      <c r="P77" s="10"/>
      <c r="Q77" s="10"/>
      <c r="R77" s="10"/>
      <c r="S77" s="10"/>
      <c r="T77" s="10">
        <v>1301563.5830847081</v>
      </c>
      <c r="U77" s="10"/>
      <c r="V77" s="10"/>
      <c r="W77" s="10"/>
      <c r="X77" s="10">
        <v>41895</v>
      </c>
      <c r="Y77" s="10"/>
      <c r="Z77" s="10">
        <v>155</v>
      </c>
      <c r="AA77" s="10"/>
      <c r="AB77" s="10"/>
      <c r="AC77" s="10">
        <v>2367</v>
      </c>
      <c r="AD77" s="10">
        <v>2908087</v>
      </c>
      <c r="AE77" s="10">
        <v>1541610</v>
      </c>
      <c r="AF77" s="10">
        <v>2216689</v>
      </c>
      <c r="AG77" s="10"/>
      <c r="AH77" s="10">
        <f t="shared" si="7"/>
        <v>9290216.5830847081</v>
      </c>
    </row>
    <row r="78" spans="1:34" x14ac:dyDescent="0.25">
      <c r="A78" s="28" t="s">
        <v>310</v>
      </c>
      <c r="B78" s="10"/>
      <c r="C78" s="10"/>
      <c r="D78" s="10"/>
      <c r="E78" s="10">
        <v>-473624</v>
      </c>
      <c r="F78" s="10"/>
      <c r="G78" s="10"/>
      <c r="H78" s="10"/>
      <c r="I78" s="10"/>
      <c r="J78" s="10"/>
      <c r="K78" s="10"/>
      <c r="L78" s="10"/>
      <c r="M78" s="10">
        <v>-3614</v>
      </c>
      <c r="N78" s="10">
        <v>520325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>
        <v>-2154</v>
      </c>
      <c r="AD78" s="10">
        <v>21326</v>
      </c>
      <c r="AE78" s="10">
        <v>-13422</v>
      </c>
      <c r="AF78" s="10">
        <v>-22120</v>
      </c>
      <c r="AG78" s="10"/>
      <c r="AH78" s="10">
        <f t="shared" si="7"/>
        <v>26717</v>
      </c>
    </row>
    <row r="79" spans="1:34" x14ac:dyDescent="0.25">
      <c r="A79" s="28" t="s">
        <v>311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>
        <v>1102</v>
      </c>
      <c r="N79" s="10">
        <v>-5795</v>
      </c>
      <c r="O79" s="10"/>
      <c r="P79" s="10"/>
      <c r="Q79" s="10"/>
      <c r="R79" s="10"/>
      <c r="S79" s="10"/>
      <c r="T79" s="10">
        <v>89233.567999999999</v>
      </c>
      <c r="U79" s="10"/>
      <c r="V79" s="10"/>
      <c r="W79" s="10"/>
      <c r="X79" s="10"/>
      <c r="Y79" s="10"/>
      <c r="Z79" s="10"/>
      <c r="AA79" s="10"/>
      <c r="AB79" s="10"/>
      <c r="AC79" s="10"/>
      <c r="AD79" s="10">
        <v>257873</v>
      </c>
      <c r="AE79" s="10">
        <v>340451</v>
      </c>
      <c r="AF79" s="10">
        <v>45487</v>
      </c>
      <c r="AG79" s="10"/>
      <c r="AH79" s="10">
        <f t="shared" si="7"/>
        <v>728351.56799999997</v>
      </c>
    </row>
    <row r="80" spans="1:34" x14ac:dyDescent="0.25">
      <c r="A80" s="28" t="s">
        <v>312</v>
      </c>
      <c r="B80" s="10"/>
      <c r="C80" s="10"/>
      <c r="D80" s="10"/>
      <c r="E80" s="10">
        <v>4549</v>
      </c>
      <c r="F80" s="10"/>
      <c r="G80" s="10"/>
      <c r="H80" s="10"/>
      <c r="I80" s="10"/>
      <c r="J80" s="10"/>
      <c r="K80" s="10"/>
      <c r="L80" s="10"/>
      <c r="M80" s="10">
        <v>-67</v>
      </c>
      <c r="N80" s="10">
        <v>180062</v>
      </c>
      <c r="O80" s="10"/>
      <c r="P80" s="10"/>
      <c r="Q80" s="10"/>
      <c r="R80" s="10"/>
      <c r="S80" s="10"/>
      <c r="T80" s="10">
        <v>5.3520000000000003</v>
      </c>
      <c r="U80" s="10"/>
      <c r="V80" s="10"/>
      <c r="W80" s="10"/>
      <c r="X80" s="10">
        <v>8054</v>
      </c>
      <c r="Y80" s="10"/>
      <c r="Z80" s="10"/>
      <c r="AA80" s="10"/>
      <c r="AB80" s="10"/>
      <c r="AC80" s="10"/>
      <c r="AD80" s="10">
        <v>334099</v>
      </c>
      <c r="AE80" s="10">
        <v>100701</v>
      </c>
      <c r="AF80" s="10">
        <v>-24060</v>
      </c>
      <c r="AG80" s="10"/>
      <c r="AH80" s="10">
        <f t="shared" si="7"/>
        <v>603343.35199999996</v>
      </c>
    </row>
    <row r="81" spans="1:34" x14ac:dyDescent="0.25">
      <c r="A81" s="28" t="s">
        <v>280</v>
      </c>
      <c r="B81" s="10"/>
      <c r="C81" s="10"/>
      <c r="D81" s="10"/>
      <c r="E81" s="10">
        <v>-2214</v>
      </c>
      <c r="F81" s="10"/>
      <c r="G81" s="10"/>
      <c r="H81" s="10"/>
      <c r="I81" s="10"/>
      <c r="J81" s="10"/>
      <c r="K81" s="10">
        <v>6666</v>
      </c>
      <c r="L81" s="10"/>
      <c r="M81" s="10">
        <v>31</v>
      </c>
      <c r="N81" s="10">
        <v>42662</v>
      </c>
      <c r="O81" s="10"/>
      <c r="P81" s="10"/>
      <c r="Q81" s="10"/>
      <c r="R81" s="10"/>
      <c r="S81" s="10"/>
      <c r="T81" s="10">
        <v>192547.52757294546</v>
      </c>
      <c r="U81" s="10"/>
      <c r="V81" s="10"/>
      <c r="W81" s="10"/>
      <c r="X81" s="10">
        <v>16021</v>
      </c>
      <c r="Y81" s="10"/>
      <c r="Z81" s="10">
        <v>3</v>
      </c>
      <c r="AA81" s="10"/>
      <c r="AB81" s="10"/>
      <c r="AC81" s="10">
        <v>-2154</v>
      </c>
      <c r="AD81" s="10">
        <v>295791</v>
      </c>
      <c r="AE81" s="10">
        <v>226328</v>
      </c>
      <c r="AF81" s="10">
        <v>47427</v>
      </c>
      <c r="AG81" s="10"/>
      <c r="AH81" s="10">
        <f t="shared" si="7"/>
        <v>823108.52757294546</v>
      </c>
    </row>
    <row r="82" spans="1:34" x14ac:dyDescent="0.25">
      <c r="A82" s="18"/>
    </row>
    <row r="83" spans="1:34" x14ac:dyDescent="0.25">
      <c r="A83" s="35" t="s">
        <v>231</v>
      </c>
    </row>
    <row r="84" spans="1:34" x14ac:dyDescent="0.25">
      <c r="A84" s="3" t="s">
        <v>0</v>
      </c>
      <c r="B84" s="89" t="s">
        <v>1</v>
      </c>
      <c r="C84" s="89" t="s">
        <v>290</v>
      </c>
      <c r="D84" s="89" t="s">
        <v>3</v>
      </c>
      <c r="E84" s="89" t="s">
        <v>4</v>
      </c>
      <c r="F84" s="89" t="s">
        <v>5</v>
      </c>
      <c r="G84" s="89" t="s">
        <v>291</v>
      </c>
      <c r="H84" s="89" t="s">
        <v>292</v>
      </c>
      <c r="I84" s="89" t="s">
        <v>8</v>
      </c>
      <c r="J84" s="89" t="s">
        <v>7</v>
      </c>
      <c r="K84" s="89" t="s">
        <v>9</v>
      </c>
      <c r="L84" s="89" t="s">
        <v>288</v>
      </c>
      <c r="M84" s="89" t="s">
        <v>11</v>
      </c>
      <c r="N84" s="89" t="s">
        <v>12</v>
      </c>
      <c r="O84" s="89" t="s">
        <v>13</v>
      </c>
      <c r="P84" s="89" t="s">
        <v>14</v>
      </c>
      <c r="Q84" s="89" t="s">
        <v>15</v>
      </c>
      <c r="R84" s="89" t="s">
        <v>16</v>
      </c>
      <c r="S84" s="89" t="s">
        <v>293</v>
      </c>
      <c r="T84" s="92" t="s">
        <v>17</v>
      </c>
      <c r="U84" s="92" t="s">
        <v>294</v>
      </c>
      <c r="V84" s="92" t="s">
        <v>313</v>
      </c>
      <c r="W84" s="89" t="s">
        <v>289</v>
      </c>
      <c r="X84" s="89" t="s">
        <v>295</v>
      </c>
      <c r="Y84" s="89" t="s">
        <v>20</v>
      </c>
      <c r="Z84" s="89" t="s">
        <v>21</v>
      </c>
      <c r="AA84" s="89" t="s">
        <v>22</v>
      </c>
      <c r="AB84" s="89" t="s">
        <v>23</v>
      </c>
      <c r="AC84" s="89" t="s">
        <v>24</v>
      </c>
      <c r="AD84" s="88" t="s">
        <v>296</v>
      </c>
      <c r="AE84" s="88" t="s">
        <v>297</v>
      </c>
      <c r="AF84" s="88" t="s">
        <v>25</v>
      </c>
      <c r="AG84" s="89" t="s">
        <v>26</v>
      </c>
      <c r="AH84" s="67" t="s">
        <v>27</v>
      </c>
    </row>
    <row r="85" spans="1:34" x14ac:dyDescent="0.25">
      <c r="A85" s="28" t="s">
        <v>235</v>
      </c>
      <c r="B85" s="10">
        <f>B95-B75-B65-B55-B35-B25-B15-B5-B45</f>
        <v>50703</v>
      </c>
      <c r="C85" s="10">
        <f t="shared" ref="C85:AG85" si="8">C95-C75-C65-C55-C35-C25-C15-C5-C45</f>
        <v>0</v>
      </c>
      <c r="D85" s="10">
        <f t="shared" si="8"/>
        <v>17126066</v>
      </c>
      <c r="E85" s="10">
        <f t="shared" si="8"/>
        <v>662758</v>
      </c>
      <c r="F85" s="10">
        <f t="shared" si="8"/>
        <v>37470</v>
      </c>
      <c r="G85" s="10">
        <f t="shared" si="8"/>
        <v>0</v>
      </c>
      <c r="H85" s="10">
        <f t="shared" si="8"/>
        <v>19928</v>
      </c>
      <c r="I85" s="10">
        <f t="shared" si="8"/>
        <v>251048.49</v>
      </c>
      <c r="J85" s="10">
        <f t="shared" si="8"/>
        <v>0</v>
      </c>
      <c r="K85" s="10">
        <f t="shared" si="8"/>
        <v>326120</v>
      </c>
      <c r="L85" s="10">
        <f t="shared" si="8"/>
        <v>108148</v>
      </c>
      <c r="M85" s="10">
        <f t="shared" si="8"/>
        <v>235206</v>
      </c>
      <c r="N85" s="10">
        <f t="shared" si="8"/>
        <v>621095</v>
      </c>
      <c r="O85" s="10">
        <f t="shared" si="8"/>
        <v>237734</v>
      </c>
      <c r="P85" s="10">
        <f t="shared" si="8"/>
        <v>1303</v>
      </c>
      <c r="Q85" s="10">
        <f t="shared" si="8"/>
        <v>29520</v>
      </c>
      <c r="R85" s="10">
        <f t="shared" si="8"/>
        <v>2138</v>
      </c>
      <c r="S85" s="10">
        <f t="shared" si="8"/>
        <v>0</v>
      </c>
      <c r="T85" s="10">
        <f t="shared" si="8"/>
        <v>298950.05500000343</v>
      </c>
      <c r="U85" s="10">
        <f t="shared" si="8"/>
        <v>11566</v>
      </c>
      <c r="V85" s="10">
        <f t="shared" si="8"/>
        <v>0</v>
      </c>
      <c r="W85" s="10">
        <f t="shared" si="8"/>
        <v>48780</v>
      </c>
      <c r="X85" s="10">
        <f t="shared" si="8"/>
        <v>165659</v>
      </c>
      <c r="Y85" s="10">
        <f t="shared" si="8"/>
        <v>322540</v>
      </c>
      <c r="Z85" s="10">
        <f t="shared" si="8"/>
        <v>46382</v>
      </c>
      <c r="AA85" s="10">
        <f t="shared" si="8"/>
        <v>10533</v>
      </c>
      <c r="AB85" s="10">
        <f t="shared" si="8"/>
        <v>16132581</v>
      </c>
      <c r="AC85" s="10">
        <f t="shared" si="8"/>
        <v>182570</v>
      </c>
      <c r="AD85" s="10">
        <f t="shared" si="8"/>
        <v>1707263</v>
      </c>
      <c r="AE85" s="10">
        <f t="shared" si="8"/>
        <v>1231422</v>
      </c>
      <c r="AF85" s="10">
        <f t="shared" si="8"/>
        <v>452126</v>
      </c>
      <c r="AG85" s="10">
        <f t="shared" si="8"/>
        <v>19090</v>
      </c>
      <c r="AH85" s="10">
        <f t="shared" ref="AH85:AH91" si="9">SUM(B85:AG85)</f>
        <v>40338699.545000002</v>
      </c>
    </row>
    <row r="86" spans="1:34" x14ac:dyDescent="0.25">
      <c r="A86" s="28" t="s">
        <v>286</v>
      </c>
      <c r="B86" s="10">
        <f t="shared" ref="B86:AG86" si="10">B96-B76-B66-B56-B36-B26-B16-B6-B46</f>
        <v>12541</v>
      </c>
      <c r="C86" s="10">
        <f t="shared" si="10"/>
        <v>0</v>
      </c>
      <c r="D86" s="10">
        <f t="shared" si="10"/>
        <v>72438327</v>
      </c>
      <c r="E86" s="10">
        <f t="shared" si="10"/>
        <v>44579251</v>
      </c>
      <c r="F86" s="10">
        <f t="shared" si="10"/>
        <v>737379</v>
      </c>
      <c r="G86" s="10">
        <f t="shared" si="10"/>
        <v>0</v>
      </c>
      <c r="H86" s="10">
        <f t="shared" si="10"/>
        <v>133073</v>
      </c>
      <c r="I86" s="10">
        <f t="shared" si="10"/>
        <v>72859048.209999993</v>
      </c>
      <c r="J86" s="10">
        <f t="shared" si="10"/>
        <v>383</v>
      </c>
      <c r="K86" s="10">
        <f t="shared" si="10"/>
        <v>1202807</v>
      </c>
      <c r="L86" s="10">
        <f t="shared" si="10"/>
        <v>438107</v>
      </c>
      <c r="M86" s="10">
        <f t="shared" si="10"/>
        <v>5039735</v>
      </c>
      <c r="N86" s="10">
        <f t="shared" si="10"/>
        <v>9827195</v>
      </c>
      <c r="O86" s="10">
        <f t="shared" si="10"/>
        <v>1073955</v>
      </c>
      <c r="P86" s="10">
        <f t="shared" si="10"/>
        <v>28730</v>
      </c>
      <c r="Q86" s="10">
        <f t="shared" si="10"/>
        <v>459337</v>
      </c>
      <c r="R86" s="10">
        <f t="shared" si="10"/>
        <v>1227346</v>
      </c>
      <c r="S86" s="10">
        <f t="shared" si="10"/>
        <v>0</v>
      </c>
      <c r="T86" s="10">
        <f t="shared" si="10"/>
        <v>5756801.5215555429</v>
      </c>
      <c r="U86" s="10">
        <f t="shared" si="10"/>
        <v>20510</v>
      </c>
      <c r="V86" s="10">
        <f t="shared" si="10"/>
        <v>0</v>
      </c>
      <c r="W86" s="10">
        <f t="shared" si="10"/>
        <v>981576</v>
      </c>
      <c r="X86" s="10">
        <f t="shared" si="10"/>
        <v>707219</v>
      </c>
      <c r="Y86" s="10">
        <f t="shared" si="10"/>
        <v>1163557</v>
      </c>
      <c r="Z86" s="10">
        <f t="shared" si="10"/>
        <v>602060</v>
      </c>
      <c r="AA86" s="10">
        <f t="shared" si="10"/>
        <v>160549</v>
      </c>
      <c r="AB86" s="10">
        <f t="shared" si="10"/>
        <v>14651092</v>
      </c>
      <c r="AC86" s="10">
        <f t="shared" si="10"/>
        <v>4743074</v>
      </c>
      <c r="AD86" s="10">
        <f t="shared" si="10"/>
        <v>15425629</v>
      </c>
      <c r="AE86" s="10">
        <f t="shared" si="10"/>
        <v>18100612</v>
      </c>
      <c r="AF86" s="10">
        <f t="shared" si="10"/>
        <v>7072915</v>
      </c>
      <c r="AG86" s="10">
        <f t="shared" si="10"/>
        <v>366227</v>
      </c>
      <c r="AH86" s="10">
        <f t="shared" si="9"/>
        <v>279809035.73155552</v>
      </c>
    </row>
    <row r="87" spans="1:34" x14ac:dyDescent="0.25">
      <c r="A87" s="28" t="s">
        <v>285</v>
      </c>
      <c r="B87" s="10">
        <f t="shared" ref="B87:AG87" si="11">B97-B77-B67-B57-B37-B27-B17-B7-B47</f>
        <v>9445</v>
      </c>
      <c r="C87" s="10">
        <f t="shared" si="11"/>
        <v>0</v>
      </c>
      <c r="D87" s="10">
        <f t="shared" si="11"/>
        <v>70911812</v>
      </c>
      <c r="E87" s="10">
        <f t="shared" si="11"/>
        <v>7948275</v>
      </c>
      <c r="F87" s="10">
        <f t="shared" si="11"/>
        <v>642368</v>
      </c>
      <c r="G87" s="10">
        <f t="shared" si="11"/>
        <v>0</v>
      </c>
      <c r="H87" s="10">
        <f t="shared" si="11"/>
        <v>116099</v>
      </c>
      <c r="I87" s="10">
        <f t="shared" si="11"/>
        <v>68853346.290000007</v>
      </c>
      <c r="J87" s="10">
        <f t="shared" si="11"/>
        <v>2924</v>
      </c>
      <c r="K87" s="10">
        <f t="shared" si="11"/>
        <v>1044142</v>
      </c>
      <c r="L87" s="10">
        <f t="shared" si="11"/>
        <v>180370</v>
      </c>
      <c r="M87" s="10">
        <f t="shared" si="11"/>
        <v>-4762971</v>
      </c>
      <c r="N87" s="10">
        <f t="shared" si="11"/>
        <v>9804534</v>
      </c>
      <c r="O87" s="10">
        <f t="shared" si="11"/>
        <v>1000548</v>
      </c>
      <c r="P87" s="10">
        <f t="shared" si="11"/>
        <v>24924</v>
      </c>
      <c r="Q87" s="10">
        <f t="shared" si="11"/>
        <v>445212</v>
      </c>
      <c r="R87" s="10">
        <f t="shared" si="11"/>
        <v>-1191607</v>
      </c>
      <c r="S87" s="10">
        <f t="shared" si="11"/>
        <v>0</v>
      </c>
      <c r="T87" s="10">
        <f t="shared" si="11"/>
        <v>5458744.5489762686</v>
      </c>
      <c r="U87" s="10">
        <f t="shared" si="11"/>
        <v>-15425</v>
      </c>
      <c r="V87" s="10">
        <f t="shared" si="11"/>
        <v>0</v>
      </c>
      <c r="W87" s="10">
        <f t="shared" si="11"/>
        <v>746910</v>
      </c>
      <c r="X87" s="10">
        <f t="shared" si="11"/>
        <v>680920</v>
      </c>
      <c r="Y87" s="10">
        <f t="shared" si="11"/>
        <v>-1484310</v>
      </c>
      <c r="Z87" s="10">
        <f t="shared" si="11"/>
        <v>580582</v>
      </c>
      <c r="AA87" s="10">
        <f t="shared" si="11"/>
        <v>152507</v>
      </c>
      <c r="AB87" s="10">
        <f t="shared" si="11"/>
        <v>9090902</v>
      </c>
      <c r="AC87" s="10">
        <f t="shared" si="11"/>
        <v>4581395</v>
      </c>
      <c r="AD87" s="10">
        <f t="shared" si="11"/>
        <v>16346052</v>
      </c>
      <c r="AE87" s="10">
        <f t="shared" si="11"/>
        <v>17178281</v>
      </c>
      <c r="AF87" s="10">
        <f t="shared" si="11"/>
        <v>6443227</v>
      </c>
      <c r="AG87" s="10">
        <f t="shared" si="11"/>
        <v>345602</v>
      </c>
      <c r="AH87" s="10">
        <f t="shared" si="9"/>
        <v>215134808.83897629</v>
      </c>
    </row>
    <row r="88" spans="1:34" x14ac:dyDescent="0.25">
      <c r="A88" s="28" t="s">
        <v>310</v>
      </c>
      <c r="B88" s="10">
        <f t="shared" ref="B88:AG88" si="12">B98-B78-B68-B58-B38-B28-B18-B8-B48</f>
        <v>0</v>
      </c>
      <c r="C88" s="10">
        <f t="shared" si="12"/>
        <v>0</v>
      </c>
      <c r="D88" s="10">
        <f t="shared" si="12"/>
        <v>5727072</v>
      </c>
      <c r="E88" s="10">
        <f t="shared" si="12"/>
        <v>37293734</v>
      </c>
      <c r="F88" s="10">
        <f t="shared" si="12"/>
        <v>0</v>
      </c>
      <c r="G88" s="10">
        <f t="shared" si="12"/>
        <v>0</v>
      </c>
      <c r="H88" s="10">
        <f t="shared" si="12"/>
        <v>36902</v>
      </c>
      <c r="I88" s="10">
        <f t="shared" si="12"/>
        <v>0</v>
      </c>
      <c r="J88" s="10">
        <f t="shared" si="12"/>
        <v>-2541</v>
      </c>
      <c r="K88" s="10">
        <f t="shared" si="12"/>
        <v>0</v>
      </c>
      <c r="L88" s="10">
        <f t="shared" si="12"/>
        <v>0</v>
      </c>
      <c r="M88" s="10">
        <f t="shared" si="12"/>
        <v>511969</v>
      </c>
      <c r="N88" s="10">
        <f t="shared" si="12"/>
        <v>643758</v>
      </c>
      <c r="O88" s="10">
        <f t="shared" si="12"/>
        <v>311141</v>
      </c>
      <c r="P88" s="10">
        <f t="shared" si="12"/>
        <v>5109</v>
      </c>
      <c r="Q88" s="10">
        <f t="shared" si="12"/>
        <v>43645</v>
      </c>
      <c r="R88" s="10">
        <f t="shared" si="12"/>
        <v>37877</v>
      </c>
      <c r="S88" s="10">
        <f t="shared" si="12"/>
        <v>-1</v>
      </c>
      <c r="T88" s="10">
        <f t="shared" si="12"/>
        <v>0</v>
      </c>
      <c r="U88" s="10">
        <f t="shared" si="12"/>
        <v>16652</v>
      </c>
      <c r="V88" s="10">
        <f t="shared" si="12"/>
        <v>0</v>
      </c>
      <c r="W88" s="10">
        <f t="shared" si="12"/>
        <v>283444</v>
      </c>
      <c r="X88" s="10">
        <f t="shared" si="12"/>
        <v>0</v>
      </c>
      <c r="Y88" s="10">
        <f t="shared" si="12"/>
        <v>1788</v>
      </c>
      <c r="Z88" s="10">
        <f t="shared" si="12"/>
        <v>0</v>
      </c>
      <c r="AA88" s="10">
        <f t="shared" si="12"/>
        <v>0</v>
      </c>
      <c r="AB88" s="10">
        <f t="shared" si="12"/>
        <v>21692771</v>
      </c>
      <c r="AC88" s="10">
        <f t="shared" si="12"/>
        <v>344249</v>
      </c>
      <c r="AD88" s="10">
        <f t="shared" si="12"/>
        <v>786842</v>
      </c>
      <c r="AE88" s="10">
        <f t="shared" si="12"/>
        <v>2153753</v>
      </c>
      <c r="AF88" s="10">
        <f t="shared" si="12"/>
        <v>1081814</v>
      </c>
      <c r="AG88" s="10">
        <f t="shared" si="12"/>
        <v>39715</v>
      </c>
      <c r="AH88" s="10">
        <f t="shared" si="9"/>
        <v>71009693</v>
      </c>
    </row>
    <row r="89" spans="1:34" x14ac:dyDescent="0.25">
      <c r="A89" s="28" t="s">
        <v>311</v>
      </c>
      <c r="B89" s="10">
        <f t="shared" ref="B89:AG89" si="13">B99-B79-B69-B59-B39-B29-B19-B9-B49</f>
        <v>0</v>
      </c>
      <c r="C89" s="10">
        <f t="shared" si="13"/>
        <v>0</v>
      </c>
      <c r="D89" s="10">
        <f t="shared" si="13"/>
        <v>-3388</v>
      </c>
      <c r="E89" s="10">
        <f t="shared" si="13"/>
        <v>0</v>
      </c>
      <c r="F89" s="10">
        <f t="shared" si="13"/>
        <v>0</v>
      </c>
      <c r="G89" s="10">
        <f t="shared" si="13"/>
        <v>0</v>
      </c>
      <c r="H89" s="10">
        <f t="shared" si="13"/>
        <v>0</v>
      </c>
      <c r="I89" s="10">
        <f t="shared" si="13"/>
        <v>0</v>
      </c>
      <c r="J89" s="10">
        <f t="shared" si="13"/>
        <v>0</v>
      </c>
      <c r="K89" s="10">
        <f t="shared" si="13"/>
        <v>0</v>
      </c>
      <c r="L89" s="10">
        <f t="shared" si="13"/>
        <v>0</v>
      </c>
      <c r="M89" s="10">
        <f t="shared" si="13"/>
        <v>0</v>
      </c>
      <c r="N89" s="10">
        <f t="shared" si="13"/>
        <v>0</v>
      </c>
      <c r="O89" s="10">
        <f t="shared" si="13"/>
        <v>0</v>
      </c>
      <c r="P89" s="10">
        <f t="shared" si="13"/>
        <v>0</v>
      </c>
      <c r="Q89" s="10">
        <f t="shared" si="13"/>
        <v>0</v>
      </c>
      <c r="R89" s="10">
        <f t="shared" si="13"/>
        <v>0</v>
      </c>
      <c r="S89" s="10">
        <f t="shared" si="13"/>
        <v>0</v>
      </c>
      <c r="T89" s="10">
        <f t="shared" si="13"/>
        <v>29153.045000000013</v>
      </c>
      <c r="U89" s="10">
        <f t="shared" si="13"/>
        <v>0</v>
      </c>
      <c r="V89" s="10">
        <f t="shared" si="13"/>
        <v>0</v>
      </c>
      <c r="W89" s="10">
        <f t="shared" si="13"/>
        <v>3034</v>
      </c>
      <c r="X89" s="10">
        <f t="shared" si="13"/>
        <v>0</v>
      </c>
      <c r="Y89" s="10">
        <f t="shared" si="13"/>
        <v>5268</v>
      </c>
      <c r="Z89" s="10">
        <f t="shared" si="13"/>
        <v>0</v>
      </c>
      <c r="AA89" s="10">
        <f t="shared" si="13"/>
        <v>0</v>
      </c>
      <c r="AB89" s="10">
        <f t="shared" si="13"/>
        <v>0</v>
      </c>
      <c r="AC89" s="10">
        <f t="shared" si="13"/>
        <v>1218</v>
      </c>
      <c r="AD89" s="10">
        <f t="shared" si="13"/>
        <v>19022</v>
      </c>
      <c r="AE89" s="10">
        <f t="shared" si="13"/>
        <v>-8068</v>
      </c>
      <c r="AF89" s="10">
        <f t="shared" si="13"/>
        <v>40138</v>
      </c>
      <c r="AG89" s="10">
        <f t="shared" si="13"/>
        <v>0</v>
      </c>
      <c r="AH89" s="10">
        <f t="shared" si="9"/>
        <v>86377.045000000013</v>
      </c>
    </row>
    <row r="90" spans="1:34" x14ac:dyDescent="0.25">
      <c r="A90" s="28" t="s">
        <v>312</v>
      </c>
      <c r="B90" s="10">
        <f t="shared" ref="B90:AG90" si="14">B100-B80-B70-B60-B40-B30-B20-B10-B50</f>
        <v>32880</v>
      </c>
      <c r="C90" s="10">
        <f t="shared" si="14"/>
        <v>0</v>
      </c>
      <c r="D90" s="10">
        <f t="shared" si="14"/>
        <v>-1938317</v>
      </c>
      <c r="E90" s="10">
        <f t="shared" si="14"/>
        <v>442227</v>
      </c>
      <c r="F90" s="10">
        <f t="shared" si="14"/>
        <v>10896</v>
      </c>
      <c r="G90" s="10">
        <f t="shared" si="14"/>
        <v>0</v>
      </c>
      <c r="H90" s="10">
        <f t="shared" si="14"/>
        <v>2157</v>
      </c>
      <c r="I90" s="10">
        <f t="shared" si="14"/>
        <v>59833.59</v>
      </c>
      <c r="J90" s="10">
        <f t="shared" si="14"/>
        <v>-2660</v>
      </c>
      <c r="K90" s="10">
        <f t="shared" si="14"/>
        <v>119646</v>
      </c>
      <c r="L90" s="10">
        <f t="shared" si="14"/>
        <v>22937</v>
      </c>
      <c r="M90" s="10">
        <f t="shared" si="14"/>
        <v>-29257</v>
      </c>
      <c r="N90" s="10">
        <f t="shared" si="14"/>
        <v>299099</v>
      </c>
      <c r="O90" s="10">
        <f t="shared" si="14"/>
        <v>70521</v>
      </c>
      <c r="P90" s="10">
        <f t="shared" si="14"/>
        <v>505</v>
      </c>
      <c r="Q90" s="10">
        <f t="shared" si="14"/>
        <v>9240</v>
      </c>
      <c r="R90" s="10">
        <f t="shared" si="14"/>
        <v>-877</v>
      </c>
      <c r="S90" s="10">
        <f t="shared" si="14"/>
        <v>0</v>
      </c>
      <c r="T90" s="10">
        <f t="shared" si="14"/>
        <v>-37470.794157995842</v>
      </c>
      <c r="U90" s="10">
        <f t="shared" si="14"/>
        <v>-578</v>
      </c>
      <c r="V90" s="10">
        <f t="shared" si="14"/>
        <v>0</v>
      </c>
      <c r="W90" s="10">
        <f t="shared" si="14"/>
        <v>17271</v>
      </c>
      <c r="X90" s="10">
        <f t="shared" si="14"/>
        <v>135834</v>
      </c>
      <c r="Y90" s="10">
        <f t="shared" si="14"/>
        <v>-225203</v>
      </c>
      <c r="Z90" s="10">
        <f t="shared" si="14"/>
        <v>6060</v>
      </c>
      <c r="AA90" s="10">
        <f t="shared" si="14"/>
        <v>1755</v>
      </c>
      <c r="AB90" s="10">
        <f t="shared" si="14"/>
        <v>1278675</v>
      </c>
      <c r="AC90" s="10">
        <f t="shared" si="14"/>
        <v>86376</v>
      </c>
      <c r="AD90" s="10">
        <f t="shared" si="14"/>
        <v>296741</v>
      </c>
      <c r="AE90" s="10">
        <f t="shared" si="14"/>
        <v>97153</v>
      </c>
      <c r="AF90" s="10">
        <f t="shared" si="14"/>
        <v>203291</v>
      </c>
      <c r="AG90" s="10">
        <f t="shared" si="14"/>
        <v>5083</v>
      </c>
      <c r="AH90" s="10">
        <f t="shared" si="9"/>
        <v>963817.79584200424</v>
      </c>
    </row>
    <row r="91" spans="1:34" x14ac:dyDescent="0.25">
      <c r="A91" s="28" t="s">
        <v>280</v>
      </c>
      <c r="B91" s="10">
        <f>B101-B81-B71-B61-B51-B41-B31-B21-B11</f>
        <v>20919</v>
      </c>
      <c r="C91" s="10">
        <f t="shared" ref="C91:AG91" si="15">C101-C81-C71-C61-C51-C41-C31-C21-C11</f>
        <v>0</v>
      </c>
      <c r="D91" s="10">
        <f t="shared" si="15"/>
        <v>7662001</v>
      </c>
      <c r="E91" s="10">
        <f t="shared" si="15"/>
        <v>324364</v>
      </c>
      <c r="F91" s="10">
        <f t="shared" si="15"/>
        <v>121588</v>
      </c>
      <c r="G91" s="10">
        <f t="shared" si="15"/>
        <v>0</v>
      </c>
      <c r="H91" s="10">
        <f t="shared" si="15"/>
        <v>34745</v>
      </c>
      <c r="I91" s="10">
        <f t="shared" si="15"/>
        <v>4022154.29</v>
      </c>
      <c r="J91" s="10">
        <f t="shared" si="15"/>
        <v>119</v>
      </c>
      <c r="K91" s="10">
        <f t="shared" si="15"/>
        <v>365137</v>
      </c>
      <c r="L91" s="10">
        <f t="shared" si="15"/>
        <v>342958</v>
      </c>
      <c r="M91" s="10">
        <f t="shared" si="15"/>
        <v>339133</v>
      </c>
      <c r="N91" s="10">
        <f t="shared" si="15"/>
        <v>526810</v>
      </c>
      <c r="O91" s="10">
        <f t="shared" si="15"/>
        <v>240620</v>
      </c>
      <c r="P91" s="10">
        <f t="shared" si="15"/>
        <v>4604</v>
      </c>
      <c r="Q91" s="10">
        <f t="shared" si="15"/>
        <v>17029</v>
      </c>
      <c r="R91" s="10">
        <f t="shared" si="15"/>
        <v>2153</v>
      </c>
      <c r="S91" s="10">
        <f t="shared" si="15"/>
        <v>0</v>
      </c>
      <c r="T91" s="10">
        <f t="shared" si="15"/>
        <v>663629.86673723999</v>
      </c>
      <c r="U91" s="10">
        <f t="shared" si="15"/>
        <v>15819</v>
      </c>
      <c r="V91" s="10">
        <f t="shared" si="15"/>
        <v>0</v>
      </c>
      <c r="W91" s="10">
        <f t="shared" si="15"/>
        <v>78548</v>
      </c>
      <c r="X91" s="10">
        <f t="shared" si="15"/>
        <v>56124</v>
      </c>
      <c r="Y91" s="10">
        <f t="shared" si="15"/>
        <v>3711</v>
      </c>
      <c r="Z91" s="10">
        <f t="shared" si="15"/>
        <v>61800</v>
      </c>
      <c r="AA91" s="10">
        <f t="shared" si="15"/>
        <v>16820</v>
      </c>
      <c r="AB91" s="10">
        <f t="shared" si="15"/>
        <v>20414096</v>
      </c>
      <c r="AC91" s="10">
        <f t="shared" si="15"/>
        <v>259091</v>
      </c>
      <c r="AD91" s="10">
        <f t="shared" si="15"/>
        <v>372612</v>
      </c>
      <c r="AE91" s="10">
        <f t="shared" si="15"/>
        <v>2048532</v>
      </c>
      <c r="AF91" s="10">
        <f t="shared" si="15"/>
        <v>918661</v>
      </c>
      <c r="AG91" s="10">
        <f t="shared" si="15"/>
        <v>34632</v>
      </c>
      <c r="AH91" s="10">
        <f t="shared" si="9"/>
        <v>38968410.156737238</v>
      </c>
    </row>
    <row r="92" spans="1:34" x14ac:dyDescent="0.25">
      <c r="A92" s="18"/>
    </row>
    <row r="93" spans="1:34" x14ac:dyDescent="0.25">
      <c r="A93" s="35" t="s">
        <v>48</v>
      </c>
    </row>
    <row r="94" spans="1:34" x14ac:dyDescent="0.25">
      <c r="A94" s="3" t="s">
        <v>0</v>
      </c>
      <c r="B94" s="89" t="s">
        <v>1</v>
      </c>
      <c r="C94" s="89" t="s">
        <v>290</v>
      </c>
      <c r="D94" s="89" t="s">
        <v>3</v>
      </c>
      <c r="E94" s="89" t="s">
        <v>4</v>
      </c>
      <c r="F94" s="89" t="s">
        <v>5</v>
      </c>
      <c r="G94" s="89" t="s">
        <v>291</v>
      </c>
      <c r="H94" s="89" t="s">
        <v>292</v>
      </c>
      <c r="I94" s="89" t="s">
        <v>8</v>
      </c>
      <c r="J94" s="89" t="s">
        <v>7</v>
      </c>
      <c r="K94" s="89" t="s">
        <v>9</v>
      </c>
      <c r="L94" s="89" t="s">
        <v>288</v>
      </c>
      <c r="M94" s="89" t="s">
        <v>11</v>
      </c>
      <c r="N94" s="89" t="s">
        <v>12</v>
      </c>
      <c r="O94" s="89" t="s">
        <v>13</v>
      </c>
      <c r="P94" s="89" t="s">
        <v>14</v>
      </c>
      <c r="Q94" s="89" t="s">
        <v>15</v>
      </c>
      <c r="R94" s="89" t="s">
        <v>16</v>
      </c>
      <c r="S94" s="89" t="s">
        <v>293</v>
      </c>
      <c r="T94" s="92" t="s">
        <v>17</v>
      </c>
      <c r="U94" s="92" t="s">
        <v>294</v>
      </c>
      <c r="V94" s="92" t="s">
        <v>313</v>
      </c>
      <c r="W94" s="89" t="s">
        <v>289</v>
      </c>
      <c r="X94" s="89" t="s">
        <v>295</v>
      </c>
      <c r="Y94" s="89" t="s">
        <v>20</v>
      </c>
      <c r="Z94" s="89" t="s">
        <v>21</v>
      </c>
      <c r="AA94" s="89" t="s">
        <v>22</v>
      </c>
      <c r="AB94" s="89" t="s">
        <v>23</v>
      </c>
      <c r="AC94" s="89" t="s">
        <v>24</v>
      </c>
      <c r="AD94" s="88" t="s">
        <v>296</v>
      </c>
      <c r="AE94" s="88" t="s">
        <v>297</v>
      </c>
      <c r="AF94" s="88" t="s">
        <v>25</v>
      </c>
      <c r="AG94" s="89" t="s">
        <v>26</v>
      </c>
      <c r="AH94" s="67" t="s">
        <v>27</v>
      </c>
    </row>
    <row r="95" spans="1:34" x14ac:dyDescent="0.25">
      <c r="A95" s="28" t="s">
        <v>235</v>
      </c>
      <c r="B95" s="10">
        <v>643708</v>
      </c>
      <c r="C95" s="10">
        <v>2195194</v>
      </c>
      <c r="D95" s="10">
        <v>17126066</v>
      </c>
      <c r="E95" s="10">
        <v>12439372</v>
      </c>
      <c r="F95" s="10">
        <v>2423992</v>
      </c>
      <c r="G95" s="10">
        <v>4090829</v>
      </c>
      <c r="H95" s="10">
        <v>4790961</v>
      </c>
      <c r="I95" s="10">
        <v>251048.49</v>
      </c>
      <c r="J95" s="10">
        <v>451881</v>
      </c>
      <c r="K95" s="10">
        <v>3789533</v>
      </c>
      <c r="L95" s="10">
        <v>-1407463</v>
      </c>
      <c r="M95" s="10">
        <v>17546953</v>
      </c>
      <c r="N95" s="10">
        <v>17269418</v>
      </c>
      <c r="O95" s="10">
        <v>10801062</v>
      </c>
      <c r="P95" s="10">
        <v>508146</v>
      </c>
      <c r="Q95" s="10">
        <v>1435566</v>
      </c>
      <c r="R95" s="10">
        <v>529938</v>
      </c>
      <c r="S95" s="10">
        <v>1546125</v>
      </c>
      <c r="T95" s="10">
        <v>22122321.783999998</v>
      </c>
      <c r="U95" s="10">
        <v>51421</v>
      </c>
      <c r="V95" s="10">
        <v>3024304</v>
      </c>
      <c r="W95" s="10">
        <v>450990</v>
      </c>
      <c r="X95" s="10">
        <v>7531190</v>
      </c>
      <c r="Y95" s="10">
        <v>3159285</v>
      </c>
      <c r="Z95" s="10">
        <v>16142208</v>
      </c>
      <c r="AA95" s="10">
        <v>1444325</v>
      </c>
      <c r="AB95" s="10">
        <v>16132581</v>
      </c>
      <c r="AC95" s="10">
        <v>5907088</v>
      </c>
      <c r="AD95" s="10">
        <v>54436679</v>
      </c>
      <c r="AE95" s="10">
        <v>21078393</v>
      </c>
      <c r="AF95" s="10">
        <v>27233778</v>
      </c>
      <c r="AG95" s="10">
        <v>3549519</v>
      </c>
      <c r="AH95" s="10">
        <f t="shared" ref="AH95:AH101" si="16">SUM(B95:AG95)</f>
        <v>278696412.27399999</v>
      </c>
    </row>
    <row r="96" spans="1:34" x14ac:dyDescent="0.25">
      <c r="A96" s="28" t="s">
        <v>286</v>
      </c>
      <c r="B96" s="10">
        <v>1552215</v>
      </c>
      <c r="C96" s="10">
        <v>2071437</v>
      </c>
      <c r="D96" s="10">
        <v>72438327</v>
      </c>
      <c r="E96" s="10">
        <v>174139742</v>
      </c>
      <c r="F96" s="10">
        <v>28006032</v>
      </c>
      <c r="G96" s="10">
        <v>5685413</v>
      </c>
      <c r="H96" s="10">
        <v>67408196</v>
      </c>
      <c r="I96" s="10">
        <v>72859048.209999993</v>
      </c>
      <c r="J96" s="10">
        <v>203680</v>
      </c>
      <c r="K96" s="10">
        <v>27448898</v>
      </c>
      <c r="L96" s="10">
        <v>26028547</v>
      </c>
      <c r="M96" s="10">
        <v>108883351</v>
      </c>
      <c r="N96" s="10">
        <v>192477934</v>
      </c>
      <c r="O96" s="10">
        <v>67303495</v>
      </c>
      <c r="P96" s="10">
        <v>4030420</v>
      </c>
      <c r="Q96" s="10">
        <v>13573135</v>
      </c>
      <c r="R96" s="10">
        <v>24406183</v>
      </c>
      <c r="S96" s="10">
        <v>1340289</v>
      </c>
      <c r="T96" s="10">
        <v>209388929.52613574</v>
      </c>
      <c r="U96" s="10">
        <v>1244859</v>
      </c>
      <c r="V96" s="10">
        <v>3721382</v>
      </c>
      <c r="W96" s="10">
        <v>3988757</v>
      </c>
      <c r="X96" s="10">
        <v>68834173</v>
      </c>
      <c r="Y96" s="10">
        <v>48678318</v>
      </c>
      <c r="Z96" s="10">
        <v>36505029</v>
      </c>
      <c r="AA96" s="10">
        <v>75493194</v>
      </c>
      <c r="AB96" s="10">
        <v>14651092</v>
      </c>
      <c r="AC96" s="10">
        <v>76208374</v>
      </c>
      <c r="AD96" s="10">
        <v>375106210</v>
      </c>
      <c r="AE96" s="10">
        <v>207655661</v>
      </c>
      <c r="AF96" s="10">
        <v>290744011</v>
      </c>
      <c r="AG96" s="10">
        <v>17385232</v>
      </c>
      <c r="AH96" s="10">
        <f t="shared" si="16"/>
        <v>2319461563.7361355</v>
      </c>
    </row>
    <row r="97" spans="1:34" x14ac:dyDescent="0.25">
      <c r="A97" s="28" t="s">
        <v>285</v>
      </c>
      <c r="B97" s="10">
        <v>1135447</v>
      </c>
      <c r="C97" s="10">
        <v>-1621527</v>
      </c>
      <c r="D97" s="10">
        <v>70911812</v>
      </c>
      <c r="E97" s="10">
        <v>136503757</v>
      </c>
      <c r="F97" s="10">
        <v>26675839</v>
      </c>
      <c r="G97" s="10">
        <v>3838808</v>
      </c>
      <c r="H97" s="10">
        <v>64630144</v>
      </c>
      <c r="I97" s="10">
        <v>68853346.290000007</v>
      </c>
      <c r="J97" s="10">
        <v>1473169</v>
      </c>
      <c r="K97" s="10">
        <v>26091791</v>
      </c>
      <c r="L97" s="10">
        <v>21494135</v>
      </c>
      <c r="M97" s="10">
        <v>-110647756</v>
      </c>
      <c r="N97" s="10">
        <v>182845028</v>
      </c>
      <c r="O97" s="10">
        <v>63477096</v>
      </c>
      <c r="P97" s="10">
        <v>3601237</v>
      </c>
      <c r="Q97" s="10">
        <v>12854146</v>
      </c>
      <c r="R97" s="10">
        <v>-23015838</v>
      </c>
      <c r="S97" s="10">
        <v>969651</v>
      </c>
      <c r="T97" s="10">
        <v>198419943.05287004</v>
      </c>
      <c r="U97" s="10">
        <v>-1175035</v>
      </c>
      <c r="V97" s="10">
        <v>2888622</v>
      </c>
      <c r="W97" s="10">
        <v>3573185</v>
      </c>
      <c r="X97" s="10">
        <v>65157234</v>
      </c>
      <c r="Y97" s="10">
        <v>-46407705</v>
      </c>
      <c r="Z97" s="10">
        <v>34705690</v>
      </c>
      <c r="AA97" s="10">
        <v>72808565</v>
      </c>
      <c r="AB97" s="10">
        <v>9090902</v>
      </c>
      <c r="AC97" s="10">
        <v>68899246</v>
      </c>
      <c r="AD97" s="10">
        <v>357124437</v>
      </c>
      <c r="AE97" s="10">
        <v>193532458</v>
      </c>
      <c r="AF97" s="10">
        <v>283460277</v>
      </c>
      <c r="AG97" s="10">
        <v>17329521</v>
      </c>
      <c r="AH97" s="10">
        <f t="shared" si="16"/>
        <v>1809477625.34287</v>
      </c>
    </row>
    <row r="98" spans="1:34" x14ac:dyDescent="0.25">
      <c r="A98" s="28" t="s">
        <v>310</v>
      </c>
      <c r="B98" s="10"/>
      <c r="C98" s="10"/>
      <c r="D98" s="10">
        <v>5727072</v>
      </c>
      <c r="E98" s="10">
        <v>50075357</v>
      </c>
      <c r="F98" s="10"/>
      <c r="G98" s="10">
        <v>5937434</v>
      </c>
      <c r="H98" s="10">
        <v>7569013</v>
      </c>
      <c r="I98" s="10"/>
      <c r="J98" s="10">
        <v>-817608</v>
      </c>
      <c r="K98" s="10"/>
      <c r="L98" s="10"/>
      <c r="M98" s="10">
        <v>15782548</v>
      </c>
      <c r="N98" s="10">
        <v>26902324</v>
      </c>
      <c r="O98" s="10">
        <v>14627461</v>
      </c>
      <c r="P98" s="10">
        <v>937329</v>
      </c>
      <c r="Q98" s="10">
        <v>2154555</v>
      </c>
      <c r="R98" s="10">
        <v>1920283</v>
      </c>
      <c r="S98" s="10">
        <v>1916763</v>
      </c>
      <c r="T98" s="10"/>
      <c r="U98" s="10">
        <v>121245</v>
      </c>
      <c r="V98" s="10">
        <v>3857064</v>
      </c>
      <c r="W98" s="10">
        <v>866561</v>
      </c>
      <c r="X98" s="10"/>
      <c r="Y98" s="10">
        <v>5429897</v>
      </c>
      <c r="Z98" s="10"/>
      <c r="AA98" s="10"/>
      <c r="AB98" s="10">
        <v>21692771</v>
      </c>
      <c r="AC98" s="10">
        <v>13216216</v>
      </c>
      <c r="AD98" s="10">
        <v>72418452</v>
      </c>
      <c r="AE98" s="10">
        <v>35201595</v>
      </c>
      <c r="AF98" s="10">
        <v>34517512</v>
      </c>
      <c r="AG98" s="10">
        <v>3605230</v>
      </c>
      <c r="AH98" s="10">
        <f t="shared" si="16"/>
        <v>323659074</v>
      </c>
    </row>
    <row r="99" spans="1:34" x14ac:dyDescent="0.25">
      <c r="A99" s="28" t="s">
        <v>311</v>
      </c>
      <c r="B99" s="10"/>
      <c r="C99" s="10"/>
      <c r="D99" s="10">
        <v>-3388</v>
      </c>
      <c r="E99" s="10">
        <v>6701</v>
      </c>
      <c r="F99" s="10">
        <v>30746</v>
      </c>
      <c r="G99" s="10">
        <v>66726</v>
      </c>
      <c r="H99" s="10">
        <v>58</v>
      </c>
      <c r="I99" s="10"/>
      <c r="J99" s="10">
        <v>14886</v>
      </c>
      <c r="K99" s="10">
        <v>50755</v>
      </c>
      <c r="L99" s="10">
        <v>2489123</v>
      </c>
      <c r="M99" s="10">
        <v>149181</v>
      </c>
      <c r="N99" s="10">
        <v>85363</v>
      </c>
      <c r="O99" s="10">
        <v>29441</v>
      </c>
      <c r="P99" s="10">
        <v>16</v>
      </c>
      <c r="Q99" s="10">
        <v>31</v>
      </c>
      <c r="R99" s="10">
        <v>110546</v>
      </c>
      <c r="S99" s="10"/>
      <c r="T99" s="10">
        <v>328851.61800000002</v>
      </c>
      <c r="U99" s="10">
        <v>3</v>
      </c>
      <c r="V99" s="10"/>
      <c r="W99" s="10">
        <v>3035</v>
      </c>
      <c r="X99" s="10">
        <v>5587</v>
      </c>
      <c r="Y99" s="10">
        <v>67764</v>
      </c>
      <c r="Z99" s="10">
        <v>23</v>
      </c>
      <c r="AA99" s="10">
        <v>30</v>
      </c>
      <c r="AB99" s="10"/>
      <c r="AC99" s="10">
        <v>89297</v>
      </c>
      <c r="AD99" s="10">
        <v>2082656</v>
      </c>
      <c r="AE99" s="10">
        <v>-78107</v>
      </c>
      <c r="AF99" s="10">
        <v>-89427</v>
      </c>
      <c r="AG99" s="10">
        <v>15</v>
      </c>
      <c r="AH99" s="10">
        <f t="shared" si="16"/>
        <v>5439912.6179999998</v>
      </c>
    </row>
    <row r="100" spans="1:34" x14ac:dyDescent="0.25">
      <c r="A100" s="28" t="s">
        <v>312</v>
      </c>
      <c r="B100" s="10">
        <v>159756</v>
      </c>
      <c r="C100" s="10">
        <v>-232595</v>
      </c>
      <c r="D100" s="10">
        <v>-1938317</v>
      </c>
      <c r="E100" s="10">
        <v>4153386</v>
      </c>
      <c r="F100" s="10">
        <v>550591</v>
      </c>
      <c r="G100" s="10">
        <v>1111704</v>
      </c>
      <c r="H100" s="10">
        <v>893861</v>
      </c>
      <c r="I100" s="10">
        <v>59833.59</v>
      </c>
      <c r="J100" s="10">
        <v>-1370028</v>
      </c>
      <c r="K100" s="10">
        <v>1167011</v>
      </c>
      <c r="L100" s="10">
        <v>386783</v>
      </c>
      <c r="M100" s="10">
        <v>-10740129</v>
      </c>
      <c r="N100" s="10">
        <v>4145129</v>
      </c>
      <c r="O100" s="10">
        <v>2959910</v>
      </c>
      <c r="P100" s="10">
        <v>50242</v>
      </c>
      <c r="Q100" s="10">
        <v>150548</v>
      </c>
      <c r="R100" s="10">
        <v>-405358</v>
      </c>
      <c r="S100" s="10">
        <v>77307</v>
      </c>
      <c r="T100" s="10">
        <v>1094259.5568420039</v>
      </c>
      <c r="U100" s="10">
        <v>-3314</v>
      </c>
      <c r="V100" s="10">
        <v>885776</v>
      </c>
      <c r="W100" s="10">
        <v>60594</v>
      </c>
      <c r="X100" s="10">
        <v>2933811</v>
      </c>
      <c r="Y100" s="10">
        <v>-1004058</v>
      </c>
      <c r="Z100" s="10">
        <v>10224087</v>
      </c>
      <c r="AA100" s="10">
        <v>110364</v>
      </c>
      <c r="AB100" s="10">
        <v>1278675</v>
      </c>
      <c r="AC100" s="10">
        <v>1692650</v>
      </c>
      <c r="AD100" s="10">
        <v>5385791</v>
      </c>
      <c r="AE100" s="10">
        <v>5131905</v>
      </c>
      <c r="AF100" s="10">
        <v>2437473</v>
      </c>
      <c r="AG100" s="10">
        <v>1625014</v>
      </c>
      <c r="AH100" s="10">
        <f t="shared" si="16"/>
        <v>33032662.146842003</v>
      </c>
    </row>
    <row r="101" spans="1:34" x14ac:dyDescent="0.25">
      <c r="A101" s="28" t="s">
        <v>280</v>
      </c>
      <c r="B101" s="10">
        <v>900720</v>
      </c>
      <c r="C101" s="10">
        <v>2412510</v>
      </c>
      <c r="D101" s="10">
        <v>7662001</v>
      </c>
      <c r="E101" s="10">
        <v>13771385</v>
      </c>
      <c r="F101" s="10">
        <v>3234342</v>
      </c>
      <c r="G101" s="10">
        <v>4892456</v>
      </c>
      <c r="H101" s="10">
        <v>6675210</v>
      </c>
      <c r="I101" s="10">
        <v>4022154.29</v>
      </c>
      <c r="J101" s="10">
        <v>567306</v>
      </c>
      <c r="K101" s="10">
        <v>4030384</v>
      </c>
      <c r="L101" s="10">
        <v>5229289</v>
      </c>
      <c r="M101" s="10">
        <v>14887851</v>
      </c>
      <c r="N101" s="10">
        <v>24682750</v>
      </c>
      <c r="O101" s="10">
        <v>11696992</v>
      </c>
      <c r="P101" s="10">
        <v>887103</v>
      </c>
      <c r="Q101" s="10">
        <v>1888417</v>
      </c>
      <c r="R101" s="10">
        <v>1530959</v>
      </c>
      <c r="S101" s="10">
        <v>1839456</v>
      </c>
      <c r="T101" s="10">
        <v>32325900.318423688</v>
      </c>
      <c r="U101" s="10">
        <v>114559</v>
      </c>
      <c r="V101" s="10">
        <v>2971288</v>
      </c>
      <c r="W101" s="10">
        <v>619788</v>
      </c>
      <c r="X101" s="10">
        <v>8279905</v>
      </c>
      <c r="Y101" s="10">
        <v>4522578</v>
      </c>
      <c r="Z101" s="10">
        <v>7717483</v>
      </c>
      <c r="AA101" s="10">
        <v>4018619</v>
      </c>
      <c r="AB101" s="10">
        <v>20414096</v>
      </c>
      <c r="AC101" s="10">
        <v>11612863</v>
      </c>
      <c r="AD101" s="10">
        <v>62878925</v>
      </c>
      <c r="AE101" s="10">
        <v>29991584</v>
      </c>
      <c r="AF101" s="10">
        <v>31990612</v>
      </c>
      <c r="AG101" s="10">
        <v>1980231</v>
      </c>
      <c r="AH101" s="10">
        <f t="shared" si="16"/>
        <v>330249716.60842371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7" customWidth="1"/>
    <col min="2" max="33" width="16" style="7" customWidth="1"/>
    <col min="34" max="34" width="16" style="8" customWidth="1"/>
    <col min="35" max="16384" width="9.140625" style="7"/>
  </cols>
  <sheetData>
    <row r="1" spans="1:34" ht="18.75" x14ac:dyDescent="0.3">
      <c r="A1" s="9" t="s">
        <v>223</v>
      </c>
    </row>
    <row r="2" spans="1:34" x14ac:dyDescent="0.25">
      <c r="A2" s="30" t="s">
        <v>40</v>
      </c>
    </row>
    <row r="3" spans="1:34" x14ac:dyDescent="0.25">
      <c r="A3" s="31" t="s">
        <v>224</v>
      </c>
    </row>
    <row r="4" spans="1:34" x14ac:dyDescent="0.25">
      <c r="A4" s="3" t="s">
        <v>0</v>
      </c>
      <c r="B4" s="89" t="s">
        <v>1</v>
      </c>
      <c r="C4" s="89" t="s">
        <v>290</v>
      </c>
      <c r="D4" s="89" t="s">
        <v>3</v>
      </c>
      <c r="E4" s="89" t="s">
        <v>4</v>
      </c>
      <c r="F4" s="89" t="s">
        <v>5</v>
      </c>
      <c r="G4" s="89" t="s">
        <v>291</v>
      </c>
      <c r="H4" s="89" t="s">
        <v>292</v>
      </c>
      <c r="I4" s="89" t="s">
        <v>8</v>
      </c>
      <c r="J4" s="89" t="s">
        <v>7</v>
      </c>
      <c r="K4" s="89" t="s">
        <v>9</v>
      </c>
      <c r="L4" s="89" t="s">
        <v>288</v>
      </c>
      <c r="M4" s="89" t="s">
        <v>11</v>
      </c>
      <c r="N4" s="89" t="s">
        <v>12</v>
      </c>
      <c r="O4" s="89" t="s">
        <v>13</v>
      </c>
      <c r="P4" s="89" t="s">
        <v>14</v>
      </c>
      <c r="Q4" s="89" t="s">
        <v>15</v>
      </c>
      <c r="R4" s="89" t="s">
        <v>16</v>
      </c>
      <c r="S4" s="89" t="s">
        <v>293</v>
      </c>
      <c r="T4" s="92" t="s">
        <v>17</v>
      </c>
      <c r="U4" s="92" t="s">
        <v>294</v>
      </c>
      <c r="V4" s="92" t="s">
        <v>313</v>
      </c>
      <c r="W4" s="89" t="s">
        <v>289</v>
      </c>
      <c r="X4" s="89" t="s">
        <v>295</v>
      </c>
      <c r="Y4" s="89" t="s">
        <v>20</v>
      </c>
      <c r="Z4" s="89" t="s">
        <v>21</v>
      </c>
      <c r="AA4" s="89" t="s">
        <v>22</v>
      </c>
      <c r="AB4" s="89" t="s">
        <v>23</v>
      </c>
      <c r="AC4" s="89" t="s">
        <v>24</v>
      </c>
      <c r="AD4" s="88" t="s">
        <v>296</v>
      </c>
      <c r="AE4" s="88" t="s">
        <v>297</v>
      </c>
      <c r="AF4" s="88" t="s">
        <v>25</v>
      </c>
      <c r="AG4" s="89" t="s">
        <v>26</v>
      </c>
      <c r="AH4" s="45" t="s">
        <v>27</v>
      </c>
    </row>
    <row r="5" spans="1:34" x14ac:dyDescent="0.25">
      <c r="A5" s="32" t="s">
        <v>232</v>
      </c>
      <c r="B5" s="10"/>
      <c r="C5" s="10"/>
      <c r="D5" s="10"/>
      <c r="E5" s="10">
        <v>416769</v>
      </c>
      <c r="F5" s="10">
        <v>63024</v>
      </c>
      <c r="G5" s="10"/>
      <c r="H5" s="10">
        <v>187283</v>
      </c>
      <c r="I5" s="10"/>
      <c r="J5" s="10">
        <v>7029</v>
      </c>
      <c r="K5" s="10">
        <v>127771</v>
      </c>
      <c r="L5" s="10">
        <v>95951</v>
      </c>
      <c r="M5" s="10">
        <v>414836</v>
      </c>
      <c r="N5" s="10">
        <v>653749</v>
      </c>
      <c r="O5" s="10">
        <v>322097</v>
      </c>
      <c r="P5" s="10">
        <v>8739</v>
      </c>
      <c r="Q5" s="10">
        <v>36962</v>
      </c>
      <c r="R5" s="10">
        <v>36971</v>
      </c>
      <c r="S5" s="10"/>
      <c r="T5" s="10">
        <v>277431.47899999999</v>
      </c>
      <c r="U5" s="10">
        <v>-1011</v>
      </c>
      <c r="V5" s="10"/>
      <c r="W5" s="10">
        <v>3666</v>
      </c>
      <c r="X5" s="10">
        <v>389925</v>
      </c>
      <c r="Y5" s="10">
        <v>119551</v>
      </c>
      <c r="Z5" s="10">
        <v>342644</v>
      </c>
      <c r="AA5" s="10">
        <v>10340</v>
      </c>
      <c r="AB5" s="10"/>
      <c r="AC5" s="10">
        <v>474628</v>
      </c>
      <c r="AD5" s="10">
        <v>1570576</v>
      </c>
      <c r="AE5" s="10">
        <v>461246</v>
      </c>
      <c r="AF5" s="10">
        <v>473192</v>
      </c>
      <c r="AG5" s="10">
        <v>68833</v>
      </c>
      <c r="AH5" s="11">
        <f>SUM(B5:AG5)</f>
        <v>6562202.4790000003</v>
      </c>
    </row>
    <row r="6" spans="1:34" x14ac:dyDescent="0.25">
      <c r="A6" s="32" t="s">
        <v>283</v>
      </c>
      <c r="B6" s="10"/>
      <c r="C6" s="10"/>
      <c r="D6" s="10"/>
      <c r="E6" s="10">
        <v>15604</v>
      </c>
      <c r="F6" s="10">
        <v>2991</v>
      </c>
      <c r="G6" s="10"/>
      <c r="H6" s="10">
        <v>484</v>
      </c>
      <c r="I6" s="10"/>
      <c r="J6" s="10">
        <v>1005</v>
      </c>
      <c r="K6" s="10">
        <v>30603</v>
      </c>
      <c r="L6" s="10">
        <v>182629</v>
      </c>
      <c r="M6" s="10">
        <v>79077</v>
      </c>
      <c r="N6" s="10">
        <v>28903</v>
      </c>
      <c r="O6" s="10">
        <v>13374</v>
      </c>
      <c r="P6" s="10">
        <v>1633</v>
      </c>
      <c r="Q6" s="10">
        <v>628</v>
      </c>
      <c r="R6" s="10">
        <v>22610</v>
      </c>
      <c r="S6" s="10"/>
      <c r="T6" s="10">
        <v>15854.868</v>
      </c>
      <c r="U6" s="10">
        <v>111</v>
      </c>
      <c r="V6" s="10"/>
      <c r="W6" s="10">
        <v>3830</v>
      </c>
      <c r="X6" s="10">
        <v>3908</v>
      </c>
      <c r="Y6" s="10">
        <v>39745</v>
      </c>
      <c r="Z6" s="10">
        <v>963</v>
      </c>
      <c r="AA6" s="10">
        <v>1109</v>
      </c>
      <c r="AB6" s="10"/>
      <c r="AC6" s="10">
        <v>37806</v>
      </c>
      <c r="AD6" s="10">
        <v>331961</v>
      </c>
      <c r="AE6" s="10">
        <v>35768</v>
      </c>
      <c r="AF6" s="10">
        <v>77571</v>
      </c>
      <c r="AG6" s="10">
        <v>554</v>
      </c>
      <c r="AH6" s="11">
        <f>SUM(B6:AG6)</f>
        <v>928721.86800000002</v>
      </c>
    </row>
    <row r="7" spans="1:34" x14ac:dyDescent="0.25">
      <c r="A7" s="32" t="s">
        <v>284</v>
      </c>
      <c r="B7" s="10">
        <v>1</v>
      </c>
      <c r="C7" s="10"/>
      <c r="D7" s="10"/>
      <c r="E7" s="10">
        <v>1639713</v>
      </c>
      <c r="F7" s="10">
        <v>108007</v>
      </c>
      <c r="G7" s="10"/>
      <c r="H7" s="10">
        <v>171669</v>
      </c>
      <c r="I7" s="10"/>
      <c r="J7" s="10">
        <v>10916</v>
      </c>
      <c r="K7" s="10">
        <v>296914</v>
      </c>
      <c r="L7" s="10">
        <v>392550</v>
      </c>
      <c r="M7" s="10">
        <v>-880626</v>
      </c>
      <c r="N7" s="10">
        <v>1246744</v>
      </c>
      <c r="O7" s="10">
        <v>521977</v>
      </c>
      <c r="P7" s="10">
        <v>15257</v>
      </c>
      <c r="Q7" s="10">
        <v>49749</v>
      </c>
      <c r="R7" s="10">
        <v>-65112</v>
      </c>
      <c r="S7" s="10"/>
      <c r="T7" s="10">
        <v>13081.633</v>
      </c>
      <c r="U7" s="10">
        <v>771</v>
      </c>
      <c r="V7" s="10"/>
      <c r="W7" s="10">
        <v>9867</v>
      </c>
      <c r="X7" s="10">
        <v>451114</v>
      </c>
      <c r="Y7" s="10">
        <v>-220767</v>
      </c>
      <c r="Z7" s="10">
        <v>402393</v>
      </c>
      <c r="AA7" s="10">
        <v>4875</v>
      </c>
      <c r="AB7" s="10"/>
      <c r="AC7" s="10">
        <v>949528</v>
      </c>
      <c r="AD7" s="10">
        <v>895131</v>
      </c>
      <c r="AE7" s="10">
        <v>311030</v>
      </c>
      <c r="AF7" s="10">
        <v>219839</v>
      </c>
      <c r="AG7" s="10">
        <v>75832</v>
      </c>
      <c r="AH7" s="11">
        <f>SUM(B7:AG7)</f>
        <v>6620453.6329999994</v>
      </c>
    </row>
    <row r="8" spans="1:34" x14ac:dyDescent="0.25">
      <c r="A8" s="32" t="s">
        <v>233</v>
      </c>
      <c r="B8" s="10">
        <v>-1</v>
      </c>
      <c r="C8" s="10"/>
      <c r="D8" s="10"/>
      <c r="E8" s="10">
        <v>-1207340</v>
      </c>
      <c r="F8" s="10">
        <v>-41992</v>
      </c>
      <c r="G8" s="10"/>
      <c r="H8" s="10">
        <v>16098</v>
      </c>
      <c r="I8" s="10"/>
      <c r="J8" s="10">
        <v>-2882</v>
      </c>
      <c r="K8" s="10">
        <v>-138540</v>
      </c>
      <c r="L8" s="10">
        <v>-113970</v>
      </c>
      <c r="M8" s="10">
        <v>-386713</v>
      </c>
      <c r="N8" s="10">
        <v>-564092</v>
      </c>
      <c r="O8" s="10">
        <v>-186506</v>
      </c>
      <c r="P8" s="10">
        <v>-4885</v>
      </c>
      <c r="Q8" s="10">
        <v>-12158</v>
      </c>
      <c r="R8" s="10">
        <v>-5531</v>
      </c>
      <c r="S8" s="10"/>
      <c r="T8" s="10">
        <v>280203.71400000004</v>
      </c>
      <c r="U8" s="10">
        <v>-129</v>
      </c>
      <c r="V8" s="10"/>
      <c r="W8" s="10">
        <v>-2371</v>
      </c>
      <c r="X8" s="10">
        <v>-57281</v>
      </c>
      <c r="Y8" s="10">
        <v>-61471</v>
      </c>
      <c r="Z8" s="10">
        <v>-58786</v>
      </c>
      <c r="AA8" s="10">
        <v>6573</v>
      </c>
      <c r="AB8" s="10"/>
      <c r="AC8" s="10">
        <v>-437094</v>
      </c>
      <c r="AD8" s="10">
        <v>1007406</v>
      </c>
      <c r="AE8" s="10">
        <v>185984</v>
      </c>
      <c r="AF8" s="10">
        <v>330924</v>
      </c>
      <c r="AG8" s="10">
        <v>-6445</v>
      </c>
      <c r="AH8" s="11">
        <f>SUM(B8:AG8)</f>
        <v>-1460998.2859999998</v>
      </c>
    </row>
    <row r="9" spans="1:34" x14ac:dyDescent="0.25">
      <c r="A9" s="30"/>
    </row>
    <row r="10" spans="1:34" x14ac:dyDescent="0.25">
      <c r="A10" s="31" t="s">
        <v>225</v>
      </c>
    </row>
    <row r="11" spans="1:34" x14ac:dyDescent="0.25">
      <c r="A11" s="3" t="s">
        <v>0</v>
      </c>
      <c r="B11" s="89" t="s">
        <v>1</v>
      </c>
      <c r="C11" s="89" t="s">
        <v>290</v>
      </c>
      <c r="D11" s="89" t="s">
        <v>3</v>
      </c>
      <c r="E11" s="89" t="s">
        <v>4</v>
      </c>
      <c r="F11" s="89" t="s">
        <v>5</v>
      </c>
      <c r="G11" s="89" t="s">
        <v>291</v>
      </c>
      <c r="H11" s="89" t="s">
        <v>292</v>
      </c>
      <c r="I11" s="89" t="s">
        <v>8</v>
      </c>
      <c r="J11" s="89" t="s">
        <v>7</v>
      </c>
      <c r="K11" s="89" t="s">
        <v>9</v>
      </c>
      <c r="L11" s="89" t="s">
        <v>288</v>
      </c>
      <c r="M11" s="89" t="s">
        <v>11</v>
      </c>
      <c r="N11" s="89" t="s">
        <v>12</v>
      </c>
      <c r="O11" s="89" t="s">
        <v>13</v>
      </c>
      <c r="P11" s="89" t="s">
        <v>14</v>
      </c>
      <c r="Q11" s="89" t="s">
        <v>15</v>
      </c>
      <c r="R11" s="89" t="s">
        <v>16</v>
      </c>
      <c r="S11" s="89" t="s">
        <v>293</v>
      </c>
      <c r="T11" s="92" t="s">
        <v>17</v>
      </c>
      <c r="U11" s="92" t="s">
        <v>294</v>
      </c>
      <c r="V11" s="92" t="s">
        <v>313</v>
      </c>
      <c r="W11" s="89" t="s">
        <v>289</v>
      </c>
      <c r="X11" s="89" t="s">
        <v>295</v>
      </c>
      <c r="Y11" s="89" t="s">
        <v>20</v>
      </c>
      <c r="Z11" s="89" t="s">
        <v>21</v>
      </c>
      <c r="AA11" s="89" t="s">
        <v>22</v>
      </c>
      <c r="AB11" s="89" t="s">
        <v>23</v>
      </c>
      <c r="AC11" s="89" t="s">
        <v>24</v>
      </c>
      <c r="AD11" s="88" t="s">
        <v>296</v>
      </c>
      <c r="AE11" s="88" t="s">
        <v>297</v>
      </c>
      <c r="AF11" s="88" t="s">
        <v>25</v>
      </c>
      <c r="AG11" s="89" t="s">
        <v>26</v>
      </c>
      <c r="AH11" s="45" t="s">
        <v>27</v>
      </c>
    </row>
    <row r="12" spans="1:34" x14ac:dyDescent="0.25">
      <c r="A12" s="32" t="s">
        <v>232</v>
      </c>
      <c r="B12" s="10"/>
      <c r="C12" s="10"/>
      <c r="D12" s="10"/>
      <c r="E12" s="10">
        <v>55625</v>
      </c>
      <c r="F12" s="10">
        <v>17325</v>
      </c>
      <c r="G12" s="10"/>
      <c r="H12" s="10">
        <v>24933</v>
      </c>
      <c r="I12" s="10"/>
      <c r="J12" s="10">
        <v>769</v>
      </c>
      <c r="K12" s="10">
        <v>37851</v>
      </c>
      <c r="L12" s="10">
        <v>1552</v>
      </c>
      <c r="M12" s="10">
        <f>553+57596</f>
        <v>58149</v>
      </c>
      <c r="N12" s="10">
        <v>173867</v>
      </c>
      <c r="O12" s="10">
        <v>74932</v>
      </c>
      <c r="P12" s="10">
        <v>201</v>
      </c>
      <c r="Q12" s="10">
        <v>17011</v>
      </c>
      <c r="R12" s="10">
        <v>3692</v>
      </c>
      <c r="S12" s="10"/>
      <c r="T12" s="10">
        <v>41031.447</v>
      </c>
      <c r="U12" s="10"/>
      <c r="V12" s="10"/>
      <c r="W12" s="10">
        <v>1</v>
      </c>
      <c r="X12" s="10">
        <v>39583</v>
      </c>
      <c r="Y12" s="10">
        <v>20161</v>
      </c>
      <c r="Z12" s="10">
        <v>30700</v>
      </c>
      <c r="AA12" s="10">
        <v>442</v>
      </c>
      <c r="AB12" s="10"/>
      <c r="AC12" s="10">
        <v>189935</v>
      </c>
      <c r="AD12" s="10">
        <v>217365</v>
      </c>
      <c r="AE12" s="10">
        <v>90483</v>
      </c>
      <c r="AF12" s="10">
        <v>71880</v>
      </c>
      <c r="AG12" s="10">
        <v>4881</v>
      </c>
      <c r="AH12" s="11">
        <f>SUM(B12:AG12)</f>
        <v>1172369.4469999999</v>
      </c>
    </row>
    <row r="13" spans="1:34" x14ac:dyDescent="0.25">
      <c r="A13" s="32" t="s">
        <v>283</v>
      </c>
      <c r="B13" s="10"/>
      <c r="C13" s="10"/>
      <c r="D13" s="10"/>
      <c r="E13" s="10"/>
      <c r="F13" s="10">
        <v>84</v>
      </c>
      <c r="G13" s="10"/>
      <c r="H13" s="10"/>
      <c r="I13" s="10"/>
      <c r="J13" s="10"/>
      <c r="K13" s="10">
        <v>683</v>
      </c>
      <c r="L13" s="10">
        <v>938</v>
      </c>
      <c r="M13" s="10">
        <v>2581</v>
      </c>
      <c r="N13" s="10">
        <v>7345</v>
      </c>
      <c r="O13" s="10">
        <v>366</v>
      </c>
      <c r="P13" s="10"/>
      <c r="Q13" s="10">
        <v>243</v>
      </c>
      <c r="R13" s="10">
        <v>619</v>
      </c>
      <c r="S13" s="10"/>
      <c r="T13" s="10">
        <v>344.84800000000001</v>
      </c>
      <c r="U13" s="10"/>
      <c r="V13" s="10"/>
      <c r="W13" s="10"/>
      <c r="X13" s="10">
        <v>13</v>
      </c>
      <c r="Y13" s="10">
        <v>-15</v>
      </c>
      <c r="Z13" s="10">
        <v>1144</v>
      </c>
      <c r="AA13" s="10"/>
      <c r="AB13" s="10"/>
      <c r="AC13" s="10">
        <v>20092</v>
      </c>
      <c r="AD13" s="10">
        <v>10414</v>
      </c>
      <c r="AE13" s="10">
        <v>3538</v>
      </c>
      <c r="AF13" s="10">
        <v>446</v>
      </c>
      <c r="AG13" s="10"/>
      <c r="AH13" s="11">
        <f>SUM(B13:AG13)</f>
        <v>48835.847999999998</v>
      </c>
    </row>
    <row r="14" spans="1:34" x14ac:dyDescent="0.25">
      <c r="A14" s="32" t="s">
        <v>284</v>
      </c>
      <c r="B14" s="10"/>
      <c r="C14" s="10"/>
      <c r="D14" s="10"/>
      <c r="E14" s="10">
        <v>16337</v>
      </c>
      <c r="F14" s="10">
        <v>6123</v>
      </c>
      <c r="G14" s="10"/>
      <c r="H14" s="10">
        <v>27748</v>
      </c>
      <c r="I14" s="10"/>
      <c r="J14" s="10">
        <v>631</v>
      </c>
      <c r="K14" s="10">
        <v>2867</v>
      </c>
      <c r="L14" s="10">
        <v>20207</v>
      </c>
      <c r="M14" s="10">
        <f>-3895-5890</f>
        <v>-9785</v>
      </c>
      <c r="N14" s="10">
        <v>25439</v>
      </c>
      <c r="O14" s="10">
        <v>44567</v>
      </c>
      <c r="P14" s="10">
        <v>121</v>
      </c>
      <c r="Q14" s="10">
        <v>770</v>
      </c>
      <c r="R14" s="10">
        <v>-6473</v>
      </c>
      <c r="S14" s="10"/>
      <c r="T14" s="10">
        <v>42223.968000000001</v>
      </c>
      <c r="U14" s="10"/>
      <c r="V14" s="10"/>
      <c r="W14" s="10"/>
      <c r="X14" s="10">
        <v>31636</v>
      </c>
      <c r="Y14" s="10">
        <v>-15711</v>
      </c>
      <c r="Z14" s="10">
        <v>2473</v>
      </c>
      <c r="AA14" s="10">
        <v>248</v>
      </c>
      <c r="AB14" s="10"/>
      <c r="AC14" s="10">
        <v>27653</v>
      </c>
      <c r="AD14" s="10">
        <v>51545</v>
      </c>
      <c r="AE14" s="10">
        <v>42791</v>
      </c>
      <c r="AF14" s="10">
        <v>19235</v>
      </c>
      <c r="AG14" s="10">
        <f>4746+4979</f>
        <v>9725</v>
      </c>
      <c r="AH14" s="11">
        <f>SUM(B14:AG14)</f>
        <v>340370.96799999999</v>
      </c>
    </row>
    <row r="15" spans="1:34" x14ac:dyDescent="0.25">
      <c r="A15" s="32" t="s">
        <v>233</v>
      </c>
      <c r="B15" s="10"/>
      <c r="C15" s="10"/>
      <c r="D15" s="10"/>
      <c r="E15" s="10">
        <v>39288</v>
      </c>
      <c r="F15" s="10">
        <v>11286</v>
      </c>
      <c r="G15" s="10"/>
      <c r="H15" s="10">
        <v>-2815</v>
      </c>
      <c r="I15" s="10"/>
      <c r="J15" s="10">
        <v>138</v>
      </c>
      <c r="K15" s="10">
        <v>35667</v>
      </c>
      <c r="L15" s="10">
        <v>-17717</v>
      </c>
      <c r="M15" s="10">
        <f>-3342+54287</f>
        <v>50945</v>
      </c>
      <c r="N15" s="10">
        <v>155773</v>
      </c>
      <c r="O15" s="10">
        <v>30731</v>
      </c>
      <c r="P15" s="10">
        <v>80</v>
      </c>
      <c r="Q15" s="10">
        <v>16483</v>
      </c>
      <c r="R15" s="10">
        <v>-2162</v>
      </c>
      <c r="S15" s="10"/>
      <c r="T15" s="10">
        <v>-847.6730000000025</v>
      </c>
      <c r="U15" s="10"/>
      <c r="V15" s="10"/>
      <c r="W15" s="10">
        <v>1</v>
      </c>
      <c r="X15" s="10">
        <v>7960</v>
      </c>
      <c r="Y15" s="10">
        <v>4435</v>
      </c>
      <c r="Z15" s="10">
        <v>29371</v>
      </c>
      <c r="AA15" s="10">
        <v>194</v>
      </c>
      <c r="AB15" s="10"/>
      <c r="AC15" s="10">
        <v>182374</v>
      </c>
      <c r="AD15" s="10">
        <v>176234</v>
      </c>
      <c r="AE15" s="10">
        <v>51230</v>
      </c>
      <c r="AF15" s="10">
        <v>53091</v>
      </c>
      <c r="AG15" s="10">
        <f>-4746-98</f>
        <v>-4844</v>
      </c>
      <c r="AH15" s="11">
        <f>SUM(B15:AG15)</f>
        <v>816895.32700000005</v>
      </c>
    </row>
    <row r="16" spans="1:34" x14ac:dyDescent="0.25">
      <c r="A16" s="30"/>
    </row>
    <row r="17" spans="1:34" x14ac:dyDescent="0.25">
      <c r="A17" s="31" t="s">
        <v>226</v>
      </c>
    </row>
    <row r="18" spans="1:34" x14ac:dyDescent="0.25">
      <c r="A18" s="3" t="s">
        <v>0</v>
      </c>
      <c r="B18" s="89" t="s">
        <v>1</v>
      </c>
      <c r="C18" s="89" t="s">
        <v>290</v>
      </c>
      <c r="D18" s="89" t="s">
        <v>3</v>
      </c>
      <c r="E18" s="89" t="s">
        <v>4</v>
      </c>
      <c r="F18" s="89" t="s">
        <v>5</v>
      </c>
      <c r="G18" s="89" t="s">
        <v>291</v>
      </c>
      <c r="H18" s="89" t="s">
        <v>292</v>
      </c>
      <c r="I18" s="89" t="s">
        <v>8</v>
      </c>
      <c r="J18" s="89" t="s">
        <v>7</v>
      </c>
      <c r="K18" s="89" t="s">
        <v>9</v>
      </c>
      <c r="L18" s="89" t="s">
        <v>288</v>
      </c>
      <c r="M18" s="89" t="s">
        <v>11</v>
      </c>
      <c r="N18" s="89" t="s">
        <v>12</v>
      </c>
      <c r="O18" s="89" t="s">
        <v>13</v>
      </c>
      <c r="P18" s="89" t="s">
        <v>14</v>
      </c>
      <c r="Q18" s="89" t="s">
        <v>15</v>
      </c>
      <c r="R18" s="89" t="s">
        <v>16</v>
      </c>
      <c r="S18" s="89" t="s">
        <v>293</v>
      </c>
      <c r="T18" s="92" t="s">
        <v>17</v>
      </c>
      <c r="U18" s="92" t="s">
        <v>294</v>
      </c>
      <c r="V18" s="92" t="s">
        <v>313</v>
      </c>
      <c r="W18" s="89" t="s">
        <v>289</v>
      </c>
      <c r="X18" s="89" t="s">
        <v>295</v>
      </c>
      <c r="Y18" s="89" t="s">
        <v>20</v>
      </c>
      <c r="Z18" s="89" t="s">
        <v>21</v>
      </c>
      <c r="AA18" s="89" t="s">
        <v>22</v>
      </c>
      <c r="AB18" s="89" t="s">
        <v>23</v>
      </c>
      <c r="AC18" s="89" t="s">
        <v>24</v>
      </c>
      <c r="AD18" s="88" t="s">
        <v>296</v>
      </c>
      <c r="AE18" s="88" t="s">
        <v>297</v>
      </c>
      <c r="AF18" s="88" t="s">
        <v>25</v>
      </c>
      <c r="AG18" s="89" t="s">
        <v>26</v>
      </c>
      <c r="AH18" s="45" t="s">
        <v>27</v>
      </c>
    </row>
    <row r="19" spans="1:34" x14ac:dyDescent="0.25">
      <c r="A19" s="32" t="s">
        <v>232</v>
      </c>
      <c r="B19" s="10">
        <v>8922</v>
      </c>
      <c r="C19" s="10"/>
      <c r="D19" s="10"/>
      <c r="E19" s="10">
        <v>684187</v>
      </c>
      <c r="F19" s="10">
        <v>244889</v>
      </c>
      <c r="G19" s="10"/>
      <c r="H19" s="10">
        <v>430338</v>
      </c>
      <c r="I19" s="10"/>
      <c r="J19" s="10">
        <v>31000</v>
      </c>
      <c r="K19" s="10">
        <v>260237</v>
      </c>
      <c r="L19" s="10">
        <v>208544</v>
      </c>
      <c r="M19" s="10">
        <f>32964+483471</f>
        <v>516435</v>
      </c>
      <c r="N19" s="10">
        <v>1102413</v>
      </c>
      <c r="O19" s="10">
        <v>628580</v>
      </c>
      <c r="P19" s="10">
        <v>48006</v>
      </c>
      <c r="Q19" s="10">
        <f>4033+179129</f>
        <v>183162</v>
      </c>
      <c r="R19" s="10">
        <v>139598</v>
      </c>
      <c r="S19" s="10"/>
      <c r="T19" s="10">
        <v>466841.42200000002</v>
      </c>
      <c r="U19" s="10">
        <v>2154</v>
      </c>
      <c r="V19" s="10"/>
      <c r="W19" s="10">
        <f>4224+72895</f>
        <v>77119</v>
      </c>
      <c r="X19" s="10">
        <v>545104</v>
      </c>
      <c r="Y19" s="10">
        <v>367940</v>
      </c>
      <c r="Z19" s="10">
        <v>363107</v>
      </c>
      <c r="AA19" s="10">
        <v>174527</v>
      </c>
      <c r="AB19" s="10"/>
      <c r="AC19" s="10">
        <v>757513</v>
      </c>
      <c r="AD19" s="10">
        <v>1550182</v>
      </c>
      <c r="AE19" s="10">
        <v>492914</v>
      </c>
      <c r="AF19" s="10">
        <v>664900</v>
      </c>
      <c r="AG19" s="10">
        <f>1185+199179</f>
        <v>200364</v>
      </c>
      <c r="AH19" s="11">
        <f>SUM(B19:AG19)</f>
        <v>10148976.422</v>
      </c>
    </row>
    <row r="20" spans="1:34" x14ac:dyDescent="0.25">
      <c r="A20" s="32" t="s">
        <v>283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>
        <v>-19127</v>
      </c>
      <c r="O20" s="10"/>
      <c r="P20" s="10"/>
      <c r="Q20" s="10"/>
      <c r="R20" s="10"/>
      <c r="S20" s="10"/>
      <c r="T20" s="10">
        <v>71.483000000000004</v>
      </c>
      <c r="U20" s="10"/>
      <c r="V20" s="10"/>
      <c r="W20" s="10"/>
      <c r="X20" s="10"/>
      <c r="Y20" s="10"/>
      <c r="Z20" s="10"/>
      <c r="AA20" s="10"/>
      <c r="AB20" s="10"/>
      <c r="AC20" s="10"/>
      <c r="AD20" s="10">
        <v>60</v>
      </c>
      <c r="AE20" s="10">
        <v>54</v>
      </c>
      <c r="AF20" s="10">
        <v>0</v>
      </c>
      <c r="AG20" s="10"/>
      <c r="AH20" s="11">
        <f>SUM(B20:AG20)</f>
        <v>-18941.517</v>
      </c>
    </row>
    <row r="21" spans="1:34" x14ac:dyDescent="0.25">
      <c r="A21" s="32" t="s">
        <v>284</v>
      </c>
      <c r="B21" s="10">
        <v>71415</v>
      </c>
      <c r="C21" s="10"/>
      <c r="D21" s="10"/>
      <c r="E21" s="10">
        <v>211253</v>
      </c>
      <c r="F21" s="10">
        <v>12279</v>
      </c>
      <c r="G21" s="10"/>
      <c r="H21" s="10">
        <v>428320</v>
      </c>
      <c r="I21" s="10"/>
      <c r="J21" s="10">
        <v>1743</v>
      </c>
      <c r="K21" s="10">
        <v>14593</v>
      </c>
      <c r="L21" s="10">
        <v>40375</v>
      </c>
      <c r="M21" s="10">
        <f>-384568-21564</f>
        <v>-406132</v>
      </c>
      <c r="N21" s="10">
        <v>101660</v>
      </c>
      <c r="O21" s="10">
        <v>90932</v>
      </c>
      <c r="P21" s="10">
        <v>19803</v>
      </c>
      <c r="Q21" s="10">
        <f>1930+6968</f>
        <v>8898</v>
      </c>
      <c r="R21" s="10">
        <v>-258297</v>
      </c>
      <c r="S21" s="10"/>
      <c r="T21" s="10">
        <v>45827.707000000002</v>
      </c>
      <c r="U21" s="10">
        <v>-259</v>
      </c>
      <c r="V21" s="10"/>
      <c r="W21" s="10">
        <f>521+3223</f>
        <v>3744</v>
      </c>
      <c r="X21" s="10">
        <v>435344</v>
      </c>
      <c r="Y21" s="10">
        <v>-198123</v>
      </c>
      <c r="Z21" s="10">
        <v>205556</v>
      </c>
      <c r="AA21" s="10">
        <v>11780</v>
      </c>
      <c r="AB21" s="10"/>
      <c r="AC21" s="10">
        <v>175276</v>
      </c>
      <c r="AD21" s="10">
        <v>62520</v>
      </c>
      <c r="AE21" s="10">
        <v>28383</v>
      </c>
      <c r="AF21" s="10">
        <v>40080</v>
      </c>
      <c r="AG21" s="10">
        <f>1769+7431</f>
        <v>9200</v>
      </c>
      <c r="AH21" s="11">
        <f>SUM(B21:AG21)</f>
        <v>1156170.7069999999</v>
      </c>
    </row>
    <row r="22" spans="1:34" x14ac:dyDescent="0.25">
      <c r="A22" s="32" t="s">
        <v>233</v>
      </c>
      <c r="B22" s="10">
        <v>-62493</v>
      </c>
      <c r="C22" s="10"/>
      <c r="D22" s="10"/>
      <c r="E22" s="10">
        <v>472934</v>
      </c>
      <c r="F22" s="10">
        <v>232611</v>
      </c>
      <c r="G22" s="10"/>
      <c r="H22" s="10">
        <v>2018</v>
      </c>
      <c r="I22" s="10"/>
      <c r="J22" s="10">
        <v>29257</v>
      </c>
      <c r="K22" s="10">
        <v>245644</v>
      </c>
      <c r="L22" s="10">
        <v>168169</v>
      </c>
      <c r="M22" s="10">
        <f>-351604+461907</f>
        <v>110303</v>
      </c>
      <c r="N22" s="10">
        <v>981626</v>
      </c>
      <c r="O22" s="10">
        <v>537648</v>
      </c>
      <c r="P22" s="10">
        <v>28203</v>
      </c>
      <c r="Q22" s="10">
        <f>2104+172161</f>
        <v>174265</v>
      </c>
      <c r="R22" s="10">
        <v>-118699</v>
      </c>
      <c r="S22" s="10"/>
      <c r="T22" s="10">
        <v>421085.19800000003</v>
      </c>
      <c r="U22" s="10">
        <v>1895</v>
      </c>
      <c r="V22" s="10"/>
      <c r="W22" s="10">
        <f>3702+69672</f>
        <v>73374</v>
      </c>
      <c r="X22" s="10">
        <v>109760</v>
      </c>
      <c r="Y22" s="10">
        <v>169817</v>
      </c>
      <c r="Z22" s="10">
        <v>157551</v>
      </c>
      <c r="AA22" s="10">
        <v>162746</v>
      </c>
      <c r="AB22" s="10"/>
      <c r="AC22" s="10">
        <v>582237</v>
      </c>
      <c r="AD22" s="10">
        <v>1487722</v>
      </c>
      <c r="AE22" s="10">
        <v>464585</v>
      </c>
      <c r="AF22" s="10">
        <v>624820</v>
      </c>
      <c r="AG22" s="10">
        <f>-584+191748</f>
        <v>191164</v>
      </c>
      <c r="AH22" s="11">
        <f>SUM(B22:AG22)</f>
        <v>7248242.1979999999</v>
      </c>
    </row>
    <row r="23" spans="1:34" x14ac:dyDescent="0.25">
      <c r="A23" s="30"/>
    </row>
    <row r="24" spans="1:34" x14ac:dyDescent="0.25">
      <c r="A24" s="31" t="s">
        <v>227</v>
      </c>
    </row>
    <row r="25" spans="1:34" x14ac:dyDescent="0.25">
      <c r="A25" s="3" t="s">
        <v>0</v>
      </c>
      <c r="B25" s="89" t="s">
        <v>1</v>
      </c>
      <c r="C25" s="89" t="s">
        <v>290</v>
      </c>
      <c r="D25" s="89" t="s">
        <v>3</v>
      </c>
      <c r="E25" s="89" t="s">
        <v>4</v>
      </c>
      <c r="F25" s="89" t="s">
        <v>5</v>
      </c>
      <c r="G25" s="89" t="s">
        <v>291</v>
      </c>
      <c r="H25" s="89" t="s">
        <v>292</v>
      </c>
      <c r="I25" s="89" t="s">
        <v>8</v>
      </c>
      <c r="J25" s="89" t="s">
        <v>7</v>
      </c>
      <c r="K25" s="89" t="s">
        <v>9</v>
      </c>
      <c r="L25" s="89" t="s">
        <v>288</v>
      </c>
      <c r="M25" s="89" t="s">
        <v>11</v>
      </c>
      <c r="N25" s="89" t="s">
        <v>12</v>
      </c>
      <c r="O25" s="89" t="s">
        <v>13</v>
      </c>
      <c r="P25" s="89" t="s">
        <v>14</v>
      </c>
      <c r="Q25" s="89" t="s">
        <v>15</v>
      </c>
      <c r="R25" s="89" t="s">
        <v>16</v>
      </c>
      <c r="S25" s="89" t="s">
        <v>293</v>
      </c>
      <c r="T25" s="92" t="s">
        <v>17</v>
      </c>
      <c r="U25" s="92" t="s">
        <v>294</v>
      </c>
      <c r="V25" s="92" t="s">
        <v>313</v>
      </c>
      <c r="W25" s="89" t="s">
        <v>289</v>
      </c>
      <c r="X25" s="89" t="s">
        <v>295</v>
      </c>
      <c r="Y25" s="89" t="s">
        <v>20</v>
      </c>
      <c r="Z25" s="89" t="s">
        <v>21</v>
      </c>
      <c r="AA25" s="89" t="s">
        <v>22</v>
      </c>
      <c r="AB25" s="89" t="s">
        <v>23</v>
      </c>
      <c r="AC25" s="89" t="s">
        <v>24</v>
      </c>
      <c r="AD25" s="88" t="s">
        <v>296</v>
      </c>
      <c r="AE25" s="88" t="s">
        <v>297</v>
      </c>
      <c r="AF25" s="88" t="s">
        <v>25</v>
      </c>
      <c r="AG25" s="89" t="s">
        <v>26</v>
      </c>
      <c r="AH25" s="45" t="s">
        <v>27</v>
      </c>
    </row>
    <row r="26" spans="1:34" x14ac:dyDescent="0.25">
      <c r="A26" s="32" t="s">
        <v>232</v>
      </c>
      <c r="B26" s="10"/>
      <c r="C26" s="10"/>
      <c r="D26" s="10"/>
      <c r="E26" s="10">
        <v>48663</v>
      </c>
      <c r="F26" s="10">
        <v>10142</v>
      </c>
      <c r="G26" s="10"/>
      <c r="H26" s="10">
        <v>5969</v>
      </c>
      <c r="I26" s="10"/>
      <c r="J26" s="10">
        <v>16</v>
      </c>
      <c r="K26" s="10">
        <v>14176</v>
      </c>
      <c r="L26" s="10">
        <v>4553</v>
      </c>
      <c r="M26" s="10">
        <v>35708</v>
      </c>
      <c r="N26" s="10">
        <v>86155</v>
      </c>
      <c r="O26" s="10">
        <v>34889</v>
      </c>
      <c r="P26" s="10">
        <v>678</v>
      </c>
      <c r="Q26" s="10">
        <v>10430</v>
      </c>
      <c r="R26" s="10">
        <v>1909</v>
      </c>
      <c r="S26" s="10"/>
      <c r="T26" s="10">
        <v>56021.288</v>
      </c>
      <c r="U26" s="10"/>
      <c r="V26" s="10"/>
      <c r="W26" s="10">
        <v>1935</v>
      </c>
      <c r="X26" s="10">
        <v>37685</v>
      </c>
      <c r="Y26" s="10">
        <v>21313</v>
      </c>
      <c r="Z26" s="10">
        <v>12235</v>
      </c>
      <c r="AA26" s="10">
        <v>2333</v>
      </c>
      <c r="AB26" s="10"/>
      <c r="AC26" s="10">
        <v>24566</v>
      </c>
      <c r="AD26" s="10">
        <v>211572</v>
      </c>
      <c r="AE26" s="10">
        <v>58285</v>
      </c>
      <c r="AF26" s="10">
        <v>94046</v>
      </c>
      <c r="AG26" s="10">
        <v>2499</v>
      </c>
      <c r="AH26" s="11">
        <f>SUM(B26:AG26)</f>
        <v>775778.28799999994</v>
      </c>
    </row>
    <row r="27" spans="1:34" x14ac:dyDescent="0.25">
      <c r="A27" s="32" t="s">
        <v>283</v>
      </c>
      <c r="B27" s="10"/>
      <c r="C27" s="10"/>
      <c r="D27" s="10"/>
      <c r="E27" s="10">
        <v>3268</v>
      </c>
      <c r="F27" s="10">
        <v>90</v>
      </c>
      <c r="G27" s="10"/>
      <c r="H27" s="10">
        <v>121</v>
      </c>
      <c r="I27" s="10"/>
      <c r="J27" s="10">
        <v>163</v>
      </c>
      <c r="K27" s="10">
        <v>1584</v>
      </c>
      <c r="L27" s="10">
        <v>1579</v>
      </c>
      <c r="M27" s="10">
        <v>1584</v>
      </c>
      <c r="N27" s="10">
        <v>5193</v>
      </c>
      <c r="O27" s="10">
        <v>1363</v>
      </c>
      <c r="P27" s="10">
        <v>31</v>
      </c>
      <c r="Q27" s="10">
        <v>66</v>
      </c>
      <c r="R27" s="10">
        <v>611</v>
      </c>
      <c r="S27" s="10"/>
      <c r="T27" s="10">
        <v>16010.498</v>
      </c>
      <c r="U27" s="10">
        <v>30</v>
      </c>
      <c r="V27" s="10"/>
      <c r="W27" s="10">
        <v>2060</v>
      </c>
      <c r="X27" s="10">
        <v>768</v>
      </c>
      <c r="Y27" s="10">
        <v>2065</v>
      </c>
      <c r="Z27" s="10">
        <v>255</v>
      </c>
      <c r="AA27" s="10">
        <v>302</v>
      </c>
      <c r="AB27" s="10"/>
      <c r="AC27" s="10">
        <v>2277</v>
      </c>
      <c r="AD27" s="10">
        <v>36204</v>
      </c>
      <c r="AE27" s="10">
        <v>2403</v>
      </c>
      <c r="AF27" s="10">
        <v>38453</v>
      </c>
      <c r="AG27" s="10">
        <v>151</v>
      </c>
      <c r="AH27" s="11">
        <f>SUM(B27:AG27)</f>
        <v>116631.49799999999</v>
      </c>
    </row>
    <row r="28" spans="1:34" x14ac:dyDescent="0.25">
      <c r="A28" s="32" t="s">
        <v>284</v>
      </c>
      <c r="B28" s="10"/>
      <c r="C28" s="10"/>
      <c r="D28" s="10"/>
      <c r="E28" s="10">
        <v>98998</v>
      </c>
      <c r="F28" s="10">
        <v>15598</v>
      </c>
      <c r="G28" s="10"/>
      <c r="H28" s="10">
        <v>10509</v>
      </c>
      <c r="I28" s="10"/>
      <c r="J28" s="10">
        <v>2014</v>
      </c>
      <c r="K28" s="10">
        <v>36550</v>
      </c>
      <c r="L28" s="10">
        <v>9424</v>
      </c>
      <c r="M28" s="10">
        <v>-83152</v>
      </c>
      <c r="N28" s="10">
        <v>79890</v>
      </c>
      <c r="O28" s="10">
        <v>31020</v>
      </c>
      <c r="P28" s="10">
        <v>795</v>
      </c>
      <c r="Q28" s="10">
        <v>13095</v>
      </c>
      <c r="R28" s="10">
        <v>-3129</v>
      </c>
      <c r="S28" s="10"/>
      <c r="T28" s="10">
        <v>22674.539000000001</v>
      </c>
      <c r="U28" s="10"/>
      <c r="V28" s="10"/>
      <c r="W28" s="10">
        <v>2402</v>
      </c>
      <c r="X28" s="10">
        <v>34528</v>
      </c>
      <c r="Y28" s="10">
        <v>-51035</v>
      </c>
      <c r="Z28" s="10">
        <v>16533</v>
      </c>
      <c r="AA28" s="10">
        <v>2385</v>
      </c>
      <c r="AB28" s="10"/>
      <c r="AC28" s="10">
        <v>75477</v>
      </c>
      <c r="AD28" s="10">
        <v>158530</v>
      </c>
      <c r="AE28" s="10">
        <v>35003</v>
      </c>
      <c r="AF28" s="10">
        <v>23955</v>
      </c>
      <c r="AG28" s="10">
        <v>6575</v>
      </c>
      <c r="AH28" s="11">
        <f>SUM(B28:AG28)</f>
        <v>538639.53899999999</v>
      </c>
    </row>
    <row r="29" spans="1:34" x14ac:dyDescent="0.25">
      <c r="A29" s="32" t="s">
        <v>233</v>
      </c>
      <c r="B29" s="10"/>
      <c r="C29" s="10"/>
      <c r="D29" s="10"/>
      <c r="E29" s="10">
        <v>-47067</v>
      </c>
      <c r="F29" s="10">
        <v>-5366</v>
      </c>
      <c r="G29" s="10"/>
      <c r="H29" s="10">
        <v>-4419</v>
      </c>
      <c r="I29" s="10"/>
      <c r="J29" s="10">
        <v>-1835</v>
      </c>
      <c r="K29" s="10">
        <v>-20790</v>
      </c>
      <c r="L29" s="10">
        <v>-3292</v>
      </c>
      <c r="M29" s="10">
        <v>-45860</v>
      </c>
      <c r="N29" s="10">
        <v>11458</v>
      </c>
      <c r="O29" s="10">
        <v>5232</v>
      </c>
      <c r="P29" s="10">
        <v>-86</v>
      </c>
      <c r="Q29" s="10">
        <v>-2599</v>
      </c>
      <c r="R29" s="10">
        <v>-609</v>
      </c>
      <c r="S29" s="10"/>
      <c r="T29" s="10">
        <v>49357.246999999988</v>
      </c>
      <c r="U29" s="10">
        <v>30</v>
      </c>
      <c r="V29" s="10"/>
      <c r="W29" s="10">
        <v>1592</v>
      </c>
      <c r="X29" s="10">
        <v>3925</v>
      </c>
      <c r="Y29" s="10">
        <v>-27657</v>
      </c>
      <c r="Z29" s="10">
        <v>-4043</v>
      </c>
      <c r="AA29" s="10">
        <v>250</v>
      </c>
      <c r="AB29" s="10"/>
      <c r="AC29" s="10">
        <v>-48634</v>
      </c>
      <c r="AD29" s="10">
        <v>89246</v>
      </c>
      <c r="AE29" s="10">
        <v>25685</v>
      </c>
      <c r="AF29" s="10">
        <v>108544</v>
      </c>
      <c r="AG29" s="10">
        <v>-3925</v>
      </c>
      <c r="AH29" s="11">
        <f>SUM(B29:AG29)</f>
        <v>79137.246999999974</v>
      </c>
    </row>
    <row r="30" spans="1:34" x14ac:dyDescent="0.25">
      <c r="A30" s="30"/>
    </row>
    <row r="31" spans="1:34" x14ac:dyDescent="0.25">
      <c r="A31" s="31" t="s">
        <v>228</v>
      </c>
    </row>
    <row r="32" spans="1:34" x14ac:dyDescent="0.25">
      <c r="A32" s="3" t="s">
        <v>0</v>
      </c>
      <c r="B32" s="89" t="s">
        <v>1</v>
      </c>
      <c r="C32" s="89" t="s">
        <v>290</v>
      </c>
      <c r="D32" s="89" t="s">
        <v>3</v>
      </c>
      <c r="E32" s="89" t="s">
        <v>4</v>
      </c>
      <c r="F32" s="89" t="s">
        <v>5</v>
      </c>
      <c r="G32" s="89" t="s">
        <v>291</v>
      </c>
      <c r="H32" s="89" t="s">
        <v>292</v>
      </c>
      <c r="I32" s="89" t="s">
        <v>8</v>
      </c>
      <c r="J32" s="89" t="s">
        <v>7</v>
      </c>
      <c r="K32" s="89" t="s">
        <v>9</v>
      </c>
      <c r="L32" s="89" t="s">
        <v>288</v>
      </c>
      <c r="M32" s="89" t="s">
        <v>11</v>
      </c>
      <c r="N32" s="89" t="s">
        <v>12</v>
      </c>
      <c r="O32" s="89" t="s">
        <v>13</v>
      </c>
      <c r="P32" s="89" t="s">
        <v>14</v>
      </c>
      <c r="Q32" s="89" t="s">
        <v>15</v>
      </c>
      <c r="R32" s="89" t="s">
        <v>16</v>
      </c>
      <c r="S32" s="89" t="s">
        <v>293</v>
      </c>
      <c r="T32" s="92" t="s">
        <v>17</v>
      </c>
      <c r="U32" s="92" t="s">
        <v>294</v>
      </c>
      <c r="V32" s="92" t="s">
        <v>313</v>
      </c>
      <c r="W32" s="89" t="s">
        <v>289</v>
      </c>
      <c r="X32" s="89" t="s">
        <v>295</v>
      </c>
      <c r="Y32" s="89" t="s">
        <v>20</v>
      </c>
      <c r="Z32" s="89" t="s">
        <v>21</v>
      </c>
      <c r="AA32" s="89" t="s">
        <v>22</v>
      </c>
      <c r="AB32" s="89" t="s">
        <v>23</v>
      </c>
      <c r="AC32" s="89" t="s">
        <v>24</v>
      </c>
      <c r="AD32" s="88" t="s">
        <v>296</v>
      </c>
      <c r="AE32" s="88" t="s">
        <v>297</v>
      </c>
      <c r="AF32" s="88" t="s">
        <v>25</v>
      </c>
      <c r="AG32" s="89" t="s">
        <v>26</v>
      </c>
      <c r="AH32" s="45" t="s">
        <v>27</v>
      </c>
    </row>
    <row r="33" spans="1:34" x14ac:dyDescent="0.25">
      <c r="A33" s="32" t="s">
        <v>232</v>
      </c>
      <c r="B33" s="10">
        <v>40283</v>
      </c>
      <c r="C33" s="10">
        <v>392560</v>
      </c>
      <c r="D33" s="10"/>
      <c r="E33" s="10">
        <v>424221</v>
      </c>
      <c r="F33" s="10">
        <v>68213</v>
      </c>
      <c r="G33" s="10">
        <v>893950</v>
      </c>
      <c r="H33" s="10">
        <v>108358</v>
      </c>
      <c r="I33" s="10"/>
      <c r="J33" s="10">
        <v>14662</v>
      </c>
      <c r="K33" s="10">
        <v>61693</v>
      </c>
      <c r="L33" s="10">
        <v>131870</v>
      </c>
      <c r="M33" s="10">
        <v>1050809</v>
      </c>
      <c r="N33" s="10">
        <v>605504</v>
      </c>
      <c r="O33" s="10">
        <v>260573</v>
      </c>
      <c r="P33" s="10">
        <v>30573</v>
      </c>
      <c r="Q33" s="10">
        <v>47258</v>
      </c>
      <c r="R33" s="10">
        <v>14580</v>
      </c>
      <c r="S33" s="10">
        <v>206657</v>
      </c>
      <c r="T33" s="10">
        <v>1003879.851</v>
      </c>
      <c r="U33" s="10">
        <v>1380</v>
      </c>
      <c r="V33" s="10">
        <v>675917</v>
      </c>
      <c r="W33" s="10">
        <v>1529</v>
      </c>
      <c r="X33" s="10">
        <v>189990</v>
      </c>
      <c r="Y33" s="10">
        <v>102758</v>
      </c>
      <c r="Z33" s="10">
        <v>216503</v>
      </c>
      <c r="AA33" s="10">
        <v>3675</v>
      </c>
      <c r="AB33" s="10"/>
      <c r="AC33" s="10">
        <v>313840</v>
      </c>
      <c r="AD33" s="10">
        <v>1977062</v>
      </c>
      <c r="AE33" s="10">
        <v>802275</v>
      </c>
      <c r="AF33" s="10">
        <v>725041</v>
      </c>
      <c r="AG33" s="10">
        <v>122986</v>
      </c>
      <c r="AH33" s="11">
        <f>SUM(B33:AG33)</f>
        <v>10488599.851</v>
      </c>
    </row>
    <row r="34" spans="1:34" x14ac:dyDescent="0.25">
      <c r="A34" s="32" t="s">
        <v>283</v>
      </c>
      <c r="B34" s="10"/>
      <c r="C34" s="10"/>
      <c r="D34" s="10"/>
      <c r="E34" s="10"/>
      <c r="F34" s="10"/>
      <c r="G34" s="10">
        <v>1112</v>
      </c>
      <c r="H34" s="10"/>
      <c r="I34" s="10"/>
      <c r="J34" s="10">
        <v>1411</v>
      </c>
      <c r="K34" s="10"/>
      <c r="L34" s="10">
        <v>5</v>
      </c>
      <c r="M34" s="10"/>
      <c r="N34" s="10">
        <v>56064</v>
      </c>
      <c r="O34" s="10"/>
      <c r="P34" s="10"/>
      <c r="Q34" s="10"/>
      <c r="R34" s="10"/>
      <c r="S34" s="10"/>
      <c r="T34" s="10">
        <v>0</v>
      </c>
      <c r="U34" s="10"/>
      <c r="V34" s="10"/>
      <c r="W34" s="10"/>
      <c r="X34" s="10"/>
      <c r="Y34" s="10"/>
      <c r="Z34" s="10">
        <v>2332</v>
      </c>
      <c r="AA34" s="10"/>
      <c r="AB34" s="10"/>
      <c r="AC34" s="10"/>
      <c r="AD34" s="10">
        <v>57384</v>
      </c>
      <c r="AE34" s="10">
        <v>0</v>
      </c>
      <c r="AF34" s="10">
        <v>0</v>
      </c>
      <c r="AG34" s="10"/>
      <c r="AH34" s="11">
        <f>SUM(B34:AG34)</f>
        <v>118308</v>
      </c>
    </row>
    <row r="35" spans="1:34" x14ac:dyDescent="0.25">
      <c r="A35" s="32" t="s">
        <v>284</v>
      </c>
      <c r="B35" s="10">
        <v>3979</v>
      </c>
      <c r="C35" s="10">
        <v>-442860</v>
      </c>
      <c r="D35" s="10"/>
      <c r="E35" s="10">
        <v>172111</v>
      </c>
      <c r="F35" s="10">
        <v>73671</v>
      </c>
      <c r="G35" s="10">
        <v>850840</v>
      </c>
      <c r="H35" s="10">
        <v>105476</v>
      </c>
      <c r="I35" s="10"/>
      <c r="J35" s="10">
        <v>11076</v>
      </c>
      <c r="K35" s="10">
        <v>43477</v>
      </c>
      <c r="L35" s="10">
        <v>9635</v>
      </c>
      <c r="M35" s="10">
        <v>-991724</v>
      </c>
      <c r="N35" s="10">
        <v>334518</v>
      </c>
      <c r="O35" s="10">
        <v>45649</v>
      </c>
      <c r="P35" s="10">
        <v>18401</v>
      </c>
      <c r="Q35" s="10">
        <v>3901</v>
      </c>
      <c r="R35" s="10">
        <v>-4662</v>
      </c>
      <c r="S35" s="10">
        <v>12908</v>
      </c>
      <c r="T35" s="10">
        <v>78004.855599999995</v>
      </c>
      <c r="U35" s="10">
        <v>354</v>
      </c>
      <c r="V35" s="10">
        <v>547200</v>
      </c>
      <c r="W35" s="10">
        <v>92</v>
      </c>
      <c r="X35" s="10">
        <v>77325</v>
      </c>
      <c r="Y35" s="10">
        <v>-1669</v>
      </c>
      <c r="Z35" s="10">
        <v>19337</v>
      </c>
      <c r="AA35" s="10">
        <v>194</v>
      </c>
      <c r="AB35" s="10"/>
      <c r="AC35" s="10">
        <v>106481</v>
      </c>
      <c r="AD35" s="10">
        <v>406860</v>
      </c>
      <c r="AE35" s="10">
        <v>72231</v>
      </c>
      <c r="AF35" s="10">
        <v>92720</v>
      </c>
      <c r="AG35" s="10">
        <v>7428</v>
      </c>
      <c r="AH35" s="11">
        <f>SUM(B35:AG35)</f>
        <v>1652953.8555999999</v>
      </c>
    </row>
    <row r="36" spans="1:34" x14ac:dyDescent="0.25">
      <c r="A36" s="32" t="s">
        <v>233</v>
      </c>
      <c r="B36" s="10">
        <v>36304</v>
      </c>
      <c r="C36" s="10">
        <v>-50300</v>
      </c>
      <c r="D36" s="10"/>
      <c r="E36" s="10">
        <v>252110</v>
      </c>
      <c r="F36" s="10">
        <v>-5458</v>
      </c>
      <c r="G36" s="10">
        <v>44222</v>
      </c>
      <c r="H36" s="10">
        <v>2882</v>
      </c>
      <c r="I36" s="10"/>
      <c r="J36" s="10">
        <v>4997</v>
      </c>
      <c r="K36" s="10">
        <v>18216</v>
      </c>
      <c r="L36" s="10">
        <v>122240</v>
      </c>
      <c r="M36" s="10">
        <v>59085</v>
      </c>
      <c r="N36" s="10">
        <v>327050</v>
      </c>
      <c r="O36" s="10">
        <v>214924</v>
      </c>
      <c r="P36" s="10">
        <v>12172</v>
      </c>
      <c r="Q36" s="10">
        <v>43357</v>
      </c>
      <c r="R36" s="10">
        <v>9918</v>
      </c>
      <c r="S36" s="10">
        <v>193749</v>
      </c>
      <c r="T36" s="10">
        <v>925874.99540000001</v>
      </c>
      <c r="U36" s="10">
        <v>1734</v>
      </c>
      <c r="V36" s="10">
        <v>128717</v>
      </c>
      <c r="W36" s="10">
        <v>1437</v>
      </c>
      <c r="X36" s="10">
        <v>112665</v>
      </c>
      <c r="Y36" s="10">
        <v>101089</v>
      </c>
      <c r="Z36" s="10">
        <v>199498</v>
      </c>
      <c r="AA36" s="10">
        <v>3482</v>
      </c>
      <c r="AB36" s="10"/>
      <c r="AC36" s="10">
        <v>207359</v>
      </c>
      <c r="AD36" s="10">
        <v>1627586</v>
      </c>
      <c r="AE36" s="10">
        <v>730044</v>
      </c>
      <c r="AF36" s="10">
        <v>632321</v>
      </c>
      <c r="AG36" s="10">
        <v>115558</v>
      </c>
      <c r="AH36" s="11">
        <f>SUM(B36:AG36)</f>
        <v>6072832.9954000004</v>
      </c>
    </row>
    <row r="37" spans="1:34" x14ac:dyDescent="0.25">
      <c r="A37" s="30"/>
    </row>
    <row r="38" spans="1:34" x14ac:dyDescent="0.25">
      <c r="A38" s="31" t="s">
        <v>229</v>
      </c>
    </row>
    <row r="39" spans="1:34" x14ac:dyDescent="0.25">
      <c r="A39" s="3" t="s">
        <v>0</v>
      </c>
      <c r="B39" s="89" t="s">
        <v>1</v>
      </c>
      <c r="C39" s="89" t="s">
        <v>290</v>
      </c>
      <c r="D39" s="89" t="s">
        <v>3</v>
      </c>
      <c r="E39" s="89" t="s">
        <v>4</v>
      </c>
      <c r="F39" s="89" t="s">
        <v>5</v>
      </c>
      <c r="G39" s="89" t="s">
        <v>291</v>
      </c>
      <c r="H39" s="89" t="s">
        <v>292</v>
      </c>
      <c r="I39" s="89" t="s">
        <v>8</v>
      </c>
      <c r="J39" s="89" t="s">
        <v>7</v>
      </c>
      <c r="K39" s="89" t="s">
        <v>9</v>
      </c>
      <c r="L39" s="89" t="s">
        <v>288</v>
      </c>
      <c r="M39" s="89" t="s">
        <v>11</v>
      </c>
      <c r="N39" s="89" t="s">
        <v>12</v>
      </c>
      <c r="O39" s="89" t="s">
        <v>13</v>
      </c>
      <c r="P39" s="89" t="s">
        <v>14</v>
      </c>
      <c r="Q39" s="89" t="s">
        <v>15</v>
      </c>
      <c r="R39" s="89" t="s">
        <v>16</v>
      </c>
      <c r="S39" s="89" t="s">
        <v>293</v>
      </c>
      <c r="T39" s="92" t="s">
        <v>17</v>
      </c>
      <c r="U39" s="92" t="s">
        <v>294</v>
      </c>
      <c r="V39" s="92" t="s">
        <v>313</v>
      </c>
      <c r="W39" s="89" t="s">
        <v>289</v>
      </c>
      <c r="X39" s="89" t="s">
        <v>295</v>
      </c>
      <c r="Y39" s="89" t="s">
        <v>20</v>
      </c>
      <c r="Z39" s="89" t="s">
        <v>21</v>
      </c>
      <c r="AA39" s="89" t="s">
        <v>22</v>
      </c>
      <c r="AB39" s="89" t="s">
        <v>23</v>
      </c>
      <c r="AC39" s="89" t="s">
        <v>24</v>
      </c>
      <c r="AD39" s="88" t="s">
        <v>296</v>
      </c>
      <c r="AE39" s="88" t="s">
        <v>297</v>
      </c>
      <c r="AF39" s="88" t="s">
        <v>25</v>
      </c>
      <c r="AG39" s="89" t="s">
        <v>26</v>
      </c>
      <c r="AH39" s="45" t="s">
        <v>27</v>
      </c>
    </row>
    <row r="40" spans="1:34" x14ac:dyDescent="0.25">
      <c r="A40" s="32" t="s">
        <v>232</v>
      </c>
      <c r="B40" s="10">
        <v>806</v>
      </c>
      <c r="C40" s="10">
        <v>50264</v>
      </c>
      <c r="D40" s="10"/>
      <c r="E40" s="10">
        <v>43684</v>
      </c>
      <c r="F40" s="10">
        <v>6701</v>
      </c>
      <c r="G40" s="10">
        <v>70313</v>
      </c>
      <c r="H40" s="10">
        <v>142754</v>
      </c>
      <c r="I40" s="10"/>
      <c r="J40" s="10">
        <v>795</v>
      </c>
      <c r="K40" s="10">
        <v>18767</v>
      </c>
      <c r="L40" s="10">
        <v>807</v>
      </c>
      <c r="M40" s="10">
        <v>161280</v>
      </c>
      <c r="N40" s="10">
        <v>47323</v>
      </c>
      <c r="O40" s="10">
        <v>32742</v>
      </c>
      <c r="P40" s="10">
        <v>991</v>
      </c>
      <c r="Q40" s="10">
        <v>5693</v>
      </c>
      <c r="R40" s="10">
        <v>1519</v>
      </c>
      <c r="S40" s="10">
        <v>3836</v>
      </c>
      <c r="T40" s="10">
        <v>18647.644</v>
      </c>
      <c r="U40" s="10">
        <v>252</v>
      </c>
      <c r="V40" s="10">
        <v>30507</v>
      </c>
      <c r="W40" s="10">
        <v>47</v>
      </c>
      <c r="X40" s="10">
        <v>6736</v>
      </c>
      <c r="Y40" s="10">
        <v>14297</v>
      </c>
      <c r="Z40" s="10">
        <v>97825</v>
      </c>
      <c r="AA40" s="10">
        <v>3479</v>
      </c>
      <c r="AB40" s="10"/>
      <c r="AC40" s="10">
        <v>22767</v>
      </c>
      <c r="AD40" s="10">
        <v>167309</v>
      </c>
      <c r="AE40" s="10">
        <v>30281</v>
      </c>
      <c r="AF40" s="10">
        <v>37241</v>
      </c>
      <c r="AG40" s="10">
        <v>38852</v>
      </c>
      <c r="AH40" s="11">
        <f>SUM(B40:AG40)</f>
        <v>1056515.6439999999</v>
      </c>
    </row>
    <row r="41" spans="1:34" x14ac:dyDescent="0.25">
      <c r="A41" s="32" t="s">
        <v>283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>
        <v>0</v>
      </c>
      <c r="U41" s="10"/>
      <c r="V41" s="10"/>
      <c r="W41" s="10"/>
      <c r="X41" s="10"/>
      <c r="Y41" s="10">
        <v>4016</v>
      </c>
      <c r="Z41" s="10"/>
      <c r="AA41" s="10"/>
      <c r="AB41" s="10"/>
      <c r="AC41" s="10"/>
      <c r="AD41" s="10">
        <v>3545</v>
      </c>
      <c r="AE41" s="10">
        <v>8</v>
      </c>
      <c r="AF41" s="10">
        <v>0</v>
      </c>
      <c r="AG41" s="10"/>
      <c r="AH41" s="11">
        <f>SUM(B41:AG41)</f>
        <v>7569</v>
      </c>
    </row>
    <row r="42" spans="1:34" x14ac:dyDescent="0.25">
      <c r="A42" s="32" t="s">
        <v>284</v>
      </c>
      <c r="B42" s="10">
        <v>95</v>
      </c>
      <c r="C42" s="10">
        <v>-2147</v>
      </c>
      <c r="D42" s="10"/>
      <c r="E42" s="10">
        <v>3786</v>
      </c>
      <c r="F42" s="10">
        <v>624</v>
      </c>
      <c r="G42" s="10">
        <v>10294</v>
      </c>
      <c r="H42" s="10">
        <v>80844</v>
      </c>
      <c r="I42" s="10"/>
      <c r="J42" s="10">
        <v>241</v>
      </c>
      <c r="K42" s="10">
        <v>2104</v>
      </c>
      <c r="L42" s="10">
        <v>356</v>
      </c>
      <c r="M42" s="10">
        <v>-274347</v>
      </c>
      <c r="N42" s="10">
        <v>48703</v>
      </c>
      <c r="O42" s="10">
        <v>2389</v>
      </c>
      <c r="P42" s="10">
        <v>2597</v>
      </c>
      <c r="Q42" s="10">
        <v>497</v>
      </c>
      <c r="R42" s="10">
        <v>-160</v>
      </c>
      <c r="S42" s="10">
        <v>239</v>
      </c>
      <c r="T42" s="10">
        <v>10186.9905045</v>
      </c>
      <c r="U42" s="10">
        <v>-517</v>
      </c>
      <c r="V42" s="10">
        <v>3419</v>
      </c>
      <c r="W42" s="10">
        <v>88</v>
      </c>
      <c r="X42" s="10">
        <v>30072</v>
      </c>
      <c r="Y42" s="10">
        <v>-22879</v>
      </c>
      <c r="Z42" s="10">
        <v>77851</v>
      </c>
      <c r="AA42" s="10">
        <v>1372</v>
      </c>
      <c r="AB42" s="10"/>
      <c r="AC42" s="10">
        <v>2666</v>
      </c>
      <c r="AD42" s="10">
        <v>30986</v>
      </c>
      <c r="AE42" s="10">
        <v>10724</v>
      </c>
      <c r="AF42" s="10">
        <v>45975</v>
      </c>
      <c r="AG42" s="10">
        <v>24969</v>
      </c>
      <c r="AH42" s="11">
        <f>SUM(B42:AG42)</f>
        <v>91027.990504500005</v>
      </c>
    </row>
    <row r="43" spans="1:34" x14ac:dyDescent="0.25">
      <c r="A43" s="32" t="s">
        <v>233</v>
      </c>
      <c r="B43" s="10">
        <v>711</v>
      </c>
      <c r="C43" s="10">
        <v>48117</v>
      </c>
      <c r="D43" s="10"/>
      <c r="E43" s="10">
        <v>39898</v>
      </c>
      <c r="F43" s="10">
        <v>6077</v>
      </c>
      <c r="G43" s="10">
        <v>60019</v>
      </c>
      <c r="H43" s="10">
        <v>61910</v>
      </c>
      <c r="I43" s="10"/>
      <c r="J43" s="10">
        <v>554</v>
      </c>
      <c r="K43" s="10">
        <v>16663</v>
      </c>
      <c r="L43" s="10">
        <v>451</v>
      </c>
      <c r="M43" s="10">
        <v>-113067</v>
      </c>
      <c r="N43" s="10">
        <v>-1380</v>
      </c>
      <c r="O43" s="10">
        <v>30353</v>
      </c>
      <c r="P43" s="10">
        <v>-1606</v>
      </c>
      <c r="Q43" s="10">
        <v>5196</v>
      </c>
      <c r="R43" s="10">
        <v>1359</v>
      </c>
      <c r="S43" s="10">
        <v>3597</v>
      </c>
      <c r="T43" s="10">
        <v>8460.6534955000006</v>
      </c>
      <c r="U43" s="10">
        <v>-265</v>
      </c>
      <c r="V43" s="10">
        <v>27088</v>
      </c>
      <c r="W43" s="10">
        <v>-40</v>
      </c>
      <c r="X43" s="10">
        <v>-23336</v>
      </c>
      <c r="Y43" s="10">
        <v>-4566</v>
      </c>
      <c r="Z43" s="10">
        <v>19974</v>
      </c>
      <c r="AA43" s="10">
        <v>2107</v>
      </c>
      <c r="AB43" s="10"/>
      <c r="AC43" s="10">
        <v>20101</v>
      </c>
      <c r="AD43" s="10">
        <v>139868</v>
      </c>
      <c r="AE43" s="10">
        <v>19565</v>
      </c>
      <c r="AF43" s="10">
        <v>-8734</v>
      </c>
      <c r="AG43" s="10">
        <v>13883</v>
      </c>
      <c r="AH43" s="11">
        <f>SUM(B43:AG43)</f>
        <v>372957.65349549998</v>
      </c>
    </row>
    <row r="44" spans="1:34" x14ac:dyDescent="0.25">
      <c r="A44" s="30"/>
    </row>
    <row r="45" spans="1:34" x14ac:dyDescent="0.25">
      <c r="A45" s="31" t="s">
        <v>306</v>
      </c>
    </row>
    <row r="46" spans="1:34" x14ac:dyDescent="0.25">
      <c r="A46" s="3" t="s">
        <v>0</v>
      </c>
      <c r="B46" s="89" t="s">
        <v>1</v>
      </c>
      <c r="C46" s="89" t="s">
        <v>290</v>
      </c>
      <c r="D46" s="89" t="s">
        <v>3</v>
      </c>
      <c r="E46" s="89" t="s">
        <v>4</v>
      </c>
      <c r="F46" s="89" t="s">
        <v>5</v>
      </c>
      <c r="G46" s="89" t="s">
        <v>291</v>
      </c>
      <c r="H46" s="89" t="s">
        <v>292</v>
      </c>
      <c r="I46" s="89" t="s">
        <v>8</v>
      </c>
      <c r="J46" s="89" t="s">
        <v>7</v>
      </c>
      <c r="K46" s="89" t="s">
        <v>9</v>
      </c>
      <c r="L46" s="89" t="s">
        <v>288</v>
      </c>
      <c r="M46" s="89" t="s">
        <v>11</v>
      </c>
      <c r="N46" s="89" t="s">
        <v>12</v>
      </c>
      <c r="O46" s="89" t="s">
        <v>13</v>
      </c>
      <c r="P46" s="89" t="s">
        <v>14</v>
      </c>
      <c r="Q46" s="89" t="s">
        <v>15</v>
      </c>
      <c r="R46" s="89" t="s">
        <v>16</v>
      </c>
      <c r="S46" s="89" t="s">
        <v>293</v>
      </c>
      <c r="T46" s="92" t="s">
        <v>17</v>
      </c>
      <c r="U46" s="92" t="s">
        <v>294</v>
      </c>
      <c r="V46" s="92" t="s">
        <v>313</v>
      </c>
      <c r="W46" s="89" t="s">
        <v>289</v>
      </c>
      <c r="X46" s="89" t="s">
        <v>295</v>
      </c>
      <c r="Y46" s="89" t="s">
        <v>20</v>
      </c>
      <c r="Z46" s="89" t="s">
        <v>21</v>
      </c>
      <c r="AA46" s="89" t="s">
        <v>22</v>
      </c>
      <c r="AB46" s="89" t="s">
        <v>23</v>
      </c>
      <c r="AC46" s="89" t="s">
        <v>24</v>
      </c>
      <c r="AD46" s="88" t="s">
        <v>296</v>
      </c>
      <c r="AE46" s="88" t="s">
        <v>297</v>
      </c>
      <c r="AF46" s="88" t="s">
        <v>25</v>
      </c>
      <c r="AG46" s="89" t="s">
        <v>26</v>
      </c>
      <c r="AH46" s="45" t="s">
        <v>27</v>
      </c>
    </row>
    <row r="47" spans="1:34" x14ac:dyDescent="0.25">
      <c r="A47" s="32" t="s">
        <v>232</v>
      </c>
      <c r="B47" s="10"/>
      <c r="C47" s="10"/>
      <c r="D47" s="10"/>
      <c r="E47" s="10">
        <v>4</v>
      </c>
      <c r="F47" s="10"/>
      <c r="G47" s="10"/>
      <c r="H47" s="10">
        <v>16</v>
      </c>
      <c r="I47" s="10"/>
      <c r="J47" s="10"/>
      <c r="K47" s="10"/>
      <c r="L47" s="10"/>
      <c r="M47" s="10">
        <v>23857</v>
      </c>
      <c r="N47" s="10">
        <v>-16</v>
      </c>
      <c r="O47" s="10"/>
      <c r="P47" s="10"/>
      <c r="Q47" s="10"/>
      <c r="R47" s="10"/>
      <c r="S47" s="10"/>
      <c r="T47" s="10">
        <v>9729.0259999999998</v>
      </c>
      <c r="U47" s="10"/>
      <c r="V47" s="10"/>
      <c r="W47" s="10"/>
      <c r="X47" s="10"/>
      <c r="Y47" s="10"/>
      <c r="Z47" s="10"/>
      <c r="AA47" s="10"/>
      <c r="AB47" s="10"/>
      <c r="AC47" s="10"/>
      <c r="AD47" s="10">
        <v>587</v>
      </c>
      <c r="AE47" s="10"/>
      <c r="AF47" s="10">
        <v>320</v>
      </c>
      <c r="AG47" s="10"/>
      <c r="AH47" s="11">
        <f>SUM(B47:AG47)</f>
        <v>34497.025999999998</v>
      </c>
    </row>
    <row r="48" spans="1:34" x14ac:dyDescent="0.25">
      <c r="A48" s="32" t="s">
        <v>283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>
        <v>888</v>
      </c>
      <c r="M48" s="10"/>
      <c r="N48" s="10"/>
      <c r="O48" s="10"/>
      <c r="P48" s="10"/>
      <c r="Q48" s="10"/>
      <c r="R48" s="10"/>
      <c r="S48" s="10"/>
      <c r="T48" s="10">
        <v>0</v>
      </c>
      <c r="U48" s="10"/>
      <c r="V48" s="10"/>
      <c r="W48" s="10"/>
      <c r="X48" s="10"/>
      <c r="Y48" s="10"/>
      <c r="Z48" s="10"/>
      <c r="AA48" s="10"/>
      <c r="AB48" s="10"/>
      <c r="AC48" s="10"/>
      <c r="AD48" s="10">
        <v>0</v>
      </c>
      <c r="AE48" s="10"/>
      <c r="AF48" s="10">
        <v>0</v>
      </c>
      <c r="AG48" s="10"/>
      <c r="AH48" s="11">
        <f>SUM(B48:AG48)</f>
        <v>888</v>
      </c>
    </row>
    <row r="49" spans="1:34" x14ac:dyDescent="0.25">
      <c r="A49" s="32" t="s">
        <v>284</v>
      </c>
      <c r="B49" s="10"/>
      <c r="C49" s="10"/>
      <c r="D49" s="10"/>
      <c r="E49" s="10">
        <v>-12515</v>
      </c>
      <c r="F49" s="10">
        <v>334</v>
      </c>
      <c r="G49" s="10"/>
      <c r="H49" s="10">
        <v>184</v>
      </c>
      <c r="I49" s="10"/>
      <c r="J49" s="10"/>
      <c r="K49" s="10">
        <v>130845</v>
      </c>
      <c r="L49" s="10">
        <v>390</v>
      </c>
      <c r="M49" s="10">
        <v>-220176</v>
      </c>
      <c r="N49" s="10">
        <v>1</v>
      </c>
      <c r="O49" s="10">
        <v>156</v>
      </c>
      <c r="P49" s="10"/>
      <c r="Q49" s="10"/>
      <c r="R49" s="10"/>
      <c r="S49" s="10"/>
      <c r="T49" s="10">
        <v>0</v>
      </c>
      <c r="U49" s="10"/>
      <c r="V49" s="10"/>
      <c r="W49" s="10"/>
      <c r="X49" s="10"/>
      <c r="Y49" s="10"/>
      <c r="Z49" s="10">
        <v>12632</v>
      </c>
      <c r="AA49" s="10"/>
      <c r="AB49" s="10"/>
      <c r="AC49" s="10"/>
      <c r="AD49" s="10">
        <v>254</v>
      </c>
      <c r="AE49" s="10"/>
      <c r="AF49" s="10">
        <v>0</v>
      </c>
      <c r="AG49" s="10">
        <v>11067</v>
      </c>
      <c r="AH49" s="11">
        <f>SUM(B49:AG49)</f>
        <v>-76828</v>
      </c>
    </row>
    <row r="50" spans="1:34" x14ac:dyDescent="0.25">
      <c r="A50" s="32" t="s">
        <v>233</v>
      </c>
      <c r="B50" s="10"/>
      <c r="C50" s="10"/>
      <c r="D50" s="10"/>
      <c r="E50" s="10">
        <v>12519</v>
      </c>
      <c r="F50" s="10">
        <v>-334</v>
      </c>
      <c r="G50" s="10"/>
      <c r="H50" s="10">
        <v>-168</v>
      </c>
      <c r="I50" s="10"/>
      <c r="J50" s="10"/>
      <c r="K50" s="10">
        <v>-130845</v>
      </c>
      <c r="L50" s="10">
        <v>498</v>
      </c>
      <c r="M50" s="10">
        <v>-196319</v>
      </c>
      <c r="N50" s="10">
        <v>-17</v>
      </c>
      <c r="O50" s="10">
        <v>-156</v>
      </c>
      <c r="P50" s="10"/>
      <c r="Q50" s="10"/>
      <c r="R50" s="10"/>
      <c r="S50" s="10"/>
      <c r="T50" s="10">
        <v>9729.0259999999998</v>
      </c>
      <c r="U50" s="10"/>
      <c r="V50" s="10"/>
      <c r="W50" s="10"/>
      <c r="X50" s="10"/>
      <c r="Y50" s="10"/>
      <c r="Z50" s="10">
        <v>-12632</v>
      </c>
      <c r="AA50" s="10"/>
      <c r="AB50" s="10"/>
      <c r="AC50" s="10"/>
      <c r="AD50" s="10">
        <v>333</v>
      </c>
      <c r="AE50" s="10"/>
      <c r="AF50" s="10">
        <v>320</v>
      </c>
      <c r="AG50" s="10">
        <v>-11067</v>
      </c>
      <c r="AH50" s="11">
        <f>SUM(B50:AG50)</f>
        <v>-328138.97399999999</v>
      </c>
    </row>
    <row r="51" spans="1:34" x14ac:dyDescent="0.25">
      <c r="A51" s="33"/>
    </row>
    <row r="52" spans="1:34" x14ac:dyDescent="0.25">
      <c r="A52" s="34" t="s">
        <v>230</v>
      </c>
    </row>
    <row r="53" spans="1:34" x14ac:dyDescent="0.25">
      <c r="A53" s="3" t="s">
        <v>0</v>
      </c>
      <c r="B53" s="89" t="s">
        <v>1</v>
      </c>
      <c r="C53" s="89" t="s">
        <v>290</v>
      </c>
      <c r="D53" s="89" t="s">
        <v>3</v>
      </c>
      <c r="E53" s="89" t="s">
        <v>4</v>
      </c>
      <c r="F53" s="89" t="s">
        <v>5</v>
      </c>
      <c r="G53" s="89" t="s">
        <v>291</v>
      </c>
      <c r="H53" s="89" t="s">
        <v>292</v>
      </c>
      <c r="I53" s="89" t="s">
        <v>8</v>
      </c>
      <c r="J53" s="89" t="s">
        <v>7</v>
      </c>
      <c r="K53" s="89" t="s">
        <v>9</v>
      </c>
      <c r="L53" s="89" t="s">
        <v>288</v>
      </c>
      <c r="M53" s="89" t="s">
        <v>11</v>
      </c>
      <c r="N53" s="89" t="s">
        <v>12</v>
      </c>
      <c r="O53" s="89" t="s">
        <v>13</v>
      </c>
      <c r="P53" s="89" t="s">
        <v>14</v>
      </c>
      <c r="Q53" s="89" t="s">
        <v>15</v>
      </c>
      <c r="R53" s="89" t="s">
        <v>16</v>
      </c>
      <c r="S53" s="89" t="s">
        <v>293</v>
      </c>
      <c r="T53" s="92" t="s">
        <v>17</v>
      </c>
      <c r="U53" s="92" t="s">
        <v>294</v>
      </c>
      <c r="V53" s="92" t="s">
        <v>313</v>
      </c>
      <c r="W53" s="89" t="s">
        <v>289</v>
      </c>
      <c r="X53" s="89" t="s">
        <v>295</v>
      </c>
      <c r="Y53" s="89" t="s">
        <v>20</v>
      </c>
      <c r="Z53" s="89" t="s">
        <v>21</v>
      </c>
      <c r="AA53" s="89" t="s">
        <v>22</v>
      </c>
      <c r="AB53" s="89" t="s">
        <v>23</v>
      </c>
      <c r="AC53" s="89" t="s">
        <v>24</v>
      </c>
      <c r="AD53" s="88" t="s">
        <v>296</v>
      </c>
      <c r="AE53" s="88" t="s">
        <v>297</v>
      </c>
      <c r="AF53" s="88" t="s">
        <v>25</v>
      </c>
      <c r="AG53" s="89" t="s">
        <v>26</v>
      </c>
      <c r="AH53" s="45" t="s">
        <v>27</v>
      </c>
    </row>
    <row r="54" spans="1:34" x14ac:dyDescent="0.25">
      <c r="A54" s="32" t="s">
        <v>232</v>
      </c>
      <c r="B54" s="10"/>
      <c r="C54" s="10"/>
      <c r="D54" s="10"/>
      <c r="E54" s="10">
        <v>5201</v>
      </c>
      <c r="F54" s="10"/>
      <c r="G54" s="10"/>
      <c r="H54" s="10"/>
      <c r="I54" s="10"/>
      <c r="J54" s="10"/>
      <c r="K54" s="10">
        <v>74</v>
      </c>
      <c r="L54" s="10"/>
      <c r="M54" s="10"/>
      <c r="N54" s="10">
        <v>4758</v>
      </c>
      <c r="O54" s="10"/>
      <c r="P54" s="10"/>
      <c r="Q54" s="10"/>
      <c r="R54" s="10"/>
      <c r="S54" s="10"/>
      <c r="T54" s="10">
        <v>2045.9760000000001</v>
      </c>
      <c r="U54" s="10"/>
      <c r="V54" s="10"/>
      <c r="W54" s="10"/>
      <c r="X54" s="10">
        <v>5116</v>
      </c>
      <c r="Y54" s="10"/>
      <c r="Z54" s="10">
        <v>31</v>
      </c>
      <c r="AA54" s="10"/>
      <c r="AB54" s="10"/>
      <c r="AC54" s="10"/>
      <c r="AD54" s="10">
        <v>16293</v>
      </c>
      <c r="AE54" s="10">
        <v>3553</v>
      </c>
      <c r="AF54" s="10">
        <v>2699</v>
      </c>
      <c r="AG54" s="10"/>
      <c r="AH54" s="11">
        <f>SUM(B54:AG54)</f>
        <v>39770.976000000002</v>
      </c>
    </row>
    <row r="55" spans="1:34" x14ac:dyDescent="0.25">
      <c r="A55" s="32" t="s">
        <v>283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>
        <v>2748</v>
      </c>
      <c r="O55" s="10"/>
      <c r="P55" s="10"/>
      <c r="Q55" s="10"/>
      <c r="R55" s="10"/>
      <c r="S55" s="10"/>
      <c r="T55" s="10">
        <v>13342.493</v>
      </c>
      <c r="U55" s="10"/>
      <c r="V55" s="10"/>
      <c r="W55" s="10"/>
      <c r="X55" s="10"/>
      <c r="Y55" s="10"/>
      <c r="Z55" s="10"/>
      <c r="AA55" s="10"/>
      <c r="AB55" s="10"/>
      <c r="AC55" s="10"/>
      <c r="AD55" s="10">
        <v>19769</v>
      </c>
      <c r="AE55" s="10">
        <v>71005</v>
      </c>
      <c r="AF55" s="10">
        <v>10942</v>
      </c>
      <c r="AG55" s="10"/>
      <c r="AH55" s="11">
        <f>SUM(B55:AG55)</f>
        <v>117806.493</v>
      </c>
    </row>
    <row r="56" spans="1:34" x14ac:dyDescent="0.25">
      <c r="A56" s="32" t="s">
        <v>284</v>
      </c>
      <c r="B56" s="10"/>
      <c r="C56" s="10"/>
      <c r="D56" s="10"/>
      <c r="E56" s="10">
        <v>1982</v>
      </c>
      <c r="F56" s="10"/>
      <c r="G56" s="10"/>
      <c r="H56" s="10"/>
      <c r="I56" s="10"/>
      <c r="J56" s="10"/>
      <c r="K56" s="10">
        <v>6</v>
      </c>
      <c r="L56" s="10"/>
      <c r="M56" s="10">
        <v>-1398</v>
      </c>
      <c r="N56" s="10">
        <v>2340</v>
      </c>
      <c r="O56" s="10"/>
      <c r="P56" s="10"/>
      <c r="Q56" s="10"/>
      <c r="R56" s="10"/>
      <c r="S56" s="10"/>
      <c r="T56" s="10">
        <v>2301.4189999999999</v>
      </c>
      <c r="U56" s="10"/>
      <c r="V56" s="10"/>
      <c r="W56" s="10"/>
      <c r="X56" s="10">
        <v>11263</v>
      </c>
      <c r="Y56" s="10"/>
      <c r="Z56" s="10">
        <v>2</v>
      </c>
      <c r="AA56" s="10"/>
      <c r="AB56" s="10"/>
      <c r="AC56" s="10"/>
      <c r="AD56" s="10">
        <v>27003</v>
      </c>
      <c r="AE56" s="10">
        <v>4327</v>
      </c>
      <c r="AF56" s="10">
        <v>8156</v>
      </c>
      <c r="AG56" s="10"/>
      <c r="AH56" s="11">
        <f>SUM(B56:AG56)</f>
        <v>55982.419000000002</v>
      </c>
    </row>
    <row r="57" spans="1:34" x14ac:dyDescent="0.25">
      <c r="A57" s="32" t="s">
        <v>233</v>
      </c>
      <c r="B57" s="10"/>
      <c r="C57" s="10"/>
      <c r="D57" s="10"/>
      <c r="E57" s="10">
        <v>3219</v>
      </c>
      <c r="F57" s="10"/>
      <c r="G57" s="10"/>
      <c r="H57" s="10"/>
      <c r="I57" s="10"/>
      <c r="J57" s="10"/>
      <c r="K57" s="10">
        <v>68</v>
      </c>
      <c r="L57" s="10"/>
      <c r="M57" s="10">
        <v>-1398</v>
      </c>
      <c r="N57" s="10">
        <v>5166</v>
      </c>
      <c r="O57" s="10"/>
      <c r="P57" s="10"/>
      <c r="Q57" s="10"/>
      <c r="R57" s="10"/>
      <c r="S57" s="10"/>
      <c r="T57" s="10">
        <v>13087.050000000001</v>
      </c>
      <c r="U57" s="10"/>
      <c r="V57" s="10"/>
      <c r="W57" s="10"/>
      <c r="X57" s="10">
        <v>-6147</v>
      </c>
      <c r="Y57" s="10"/>
      <c r="Z57" s="10">
        <v>29</v>
      </c>
      <c r="AA57" s="10"/>
      <c r="AB57" s="10"/>
      <c r="AC57" s="10"/>
      <c r="AD57" s="10">
        <v>9059</v>
      </c>
      <c r="AE57" s="10">
        <v>70231</v>
      </c>
      <c r="AF57" s="10">
        <v>5485</v>
      </c>
      <c r="AG57" s="10"/>
      <c r="AH57" s="11">
        <f>SUM(B57:AG57)</f>
        <v>98799.05</v>
      </c>
    </row>
    <row r="58" spans="1:34" x14ac:dyDescent="0.25">
      <c r="A58" s="30"/>
    </row>
    <row r="59" spans="1:34" x14ac:dyDescent="0.25">
      <c r="A59" s="31" t="s">
        <v>231</v>
      </c>
    </row>
    <row r="60" spans="1:34" x14ac:dyDescent="0.25">
      <c r="A60" s="3" t="s">
        <v>0</v>
      </c>
      <c r="B60" s="89" t="s">
        <v>1</v>
      </c>
      <c r="C60" s="89" t="s">
        <v>290</v>
      </c>
      <c r="D60" s="89" t="s">
        <v>3</v>
      </c>
      <c r="E60" s="89" t="s">
        <v>4</v>
      </c>
      <c r="F60" s="89" t="s">
        <v>5</v>
      </c>
      <c r="G60" s="89" t="s">
        <v>291</v>
      </c>
      <c r="H60" s="89" t="s">
        <v>292</v>
      </c>
      <c r="I60" s="89" t="s">
        <v>8</v>
      </c>
      <c r="J60" s="89" t="s">
        <v>7</v>
      </c>
      <c r="K60" s="89" t="s">
        <v>9</v>
      </c>
      <c r="L60" s="89" t="s">
        <v>288</v>
      </c>
      <c r="M60" s="89" t="s">
        <v>11</v>
      </c>
      <c r="N60" s="89" t="s">
        <v>12</v>
      </c>
      <c r="O60" s="89" t="s">
        <v>13</v>
      </c>
      <c r="P60" s="89" t="s">
        <v>14</v>
      </c>
      <c r="Q60" s="89" t="s">
        <v>15</v>
      </c>
      <c r="R60" s="89" t="s">
        <v>16</v>
      </c>
      <c r="S60" s="89" t="s">
        <v>293</v>
      </c>
      <c r="T60" s="92" t="s">
        <v>17</v>
      </c>
      <c r="U60" s="92" t="s">
        <v>294</v>
      </c>
      <c r="V60" s="92" t="s">
        <v>313</v>
      </c>
      <c r="W60" s="89" t="s">
        <v>289</v>
      </c>
      <c r="X60" s="89" t="s">
        <v>295</v>
      </c>
      <c r="Y60" s="89" t="s">
        <v>20</v>
      </c>
      <c r="Z60" s="89" t="s">
        <v>21</v>
      </c>
      <c r="AA60" s="89" t="s">
        <v>22</v>
      </c>
      <c r="AB60" s="89" t="s">
        <v>23</v>
      </c>
      <c r="AC60" s="89" t="s">
        <v>24</v>
      </c>
      <c r="AD60" s="88" t="s">
        <v>296</v>
      </c>
      <c r="AE60" s="88" t="s">
        <v>297</v>
      </c>
      <c r="AF60" s="88" t="s">
        <v>25</v>
      </c>
      <c r="AG60" s="89" t="s">
        <v>26</v>
      </c>
      <c r="AH60" s="45" t="s">
        <v>27</v>
      </c>
    </row>
    <row r="61" spans="1:34" x14ac:dyDescent="0.25">
      <c r="A61" s="32" t="s">
        <v>232</v>
      </c>
      <c r="B61" s="10">
        <f>B68-B54-B47-B40-B33-B26-B19-B12-B5</f>
        <v>0</v>
      </c>
      <c r="C61" s="10">
        <f t="shared" ref="C61:AG61" si="0">C68-C54-C47-C40-C33-C26-C19-C12-C5</f>
        <v>0</v>
      </c>
      <c r="D61" s="10">
        <f t="shared" si="0"/>
        <v>69521</v>
      </c>
      <c r="E61" s="10">
        <f t="shared" si="0"/>
        <v>218849</v>
      </c>
      <c r="F61" s="10">
        <f t="shared" si="0"/>
        <v>20900</v>
      </c>
      <c r="G61" s="10">
        <f t="shared" si="0"/>
        <v>0</v>
      </c>
      <c r="H61" s="10">
        <f t="shared" si="0"/>
        <v>15722</v>
      </c>
      <c r="I61" s="10">
        <f t="shared" si="0"/>
        <v>6740.12</v>
      </c>
      <c r="J61" s="10">
        <f t="shared" si="0"/>
        <v>31</v>
      </c>
      <c r="K61" s="10">
        <f t="shared" si="0"/>
        <v>52947</v>
      </c>
      <c r="L61" s="10">
        <f t="shared" si="0"/>
        <v>75846</v>
      </c>
      <c r="M61" s="10">
        <f t="shared" si="0"/>
        <v>138136</v>
      </c>
      <c r="N61" s="10">
        <f t="shared" si="0"/>
        <v>228210</v>
      </c>
      <c r="O61" s="10">
        <f t="shared" si="0"/>
        <v>276143</v>
      </c>
      <c r="P61" s="10">
        <f t="shared" si="0"/>
        <v>1012</v>
      </c>
      <c r="Q61" s="10">
        <f t="shared" si="0"/>
        <v>29907</v>
      </c>
      <c r="R61" s="10">
        <f t="shared" si="0"/>
        <v>2223</v>
      </c>
      <c r="S61" s="10">
        <f t="shared" si="0"/>
        <v>0</v>
      </c>
      <c r="T61" s="10">
        <f t="shared" si="0"/>
        <v>129902.08413999993</v>
      </c>
      <c r="U61" s="10">
        <f t="shared" si="0"/>
        <v>0</v>
      </c>
      <c r="V61" s="10">
        <f t="shared" si="0"/>
        <v>0</v>
      </c>
      <c r="W61" s="10">
        <f t="shared" si="0"/>
        <v>25784</v>
      </c>
      <c r="X61" s="10">
        <f t="shared" si="0"/>
        <v>31766</v>
      </c>
      <c r="Y61" s="10">
        <f t="shared" si="0"/>
        <v>6241</v>
      </c>
      <c r="Z61" s="10">
        <f t="shared" si="0"/>
        <v>88727</v>
      </c>
      <c r="AA61" s="10">
        <f t="shared" si="0"/>
        <v>2033</v>
      </c>
      <c r="AB61" s="10">
        <f t="shared" si="0"/>
        <v>2892292</v>
      </c>
      <c r="AC61" s="10">
        <f t="shared" si="0"/>
        <v>169301</v>
      </c>
      <c r="AD61" s="10">
        <f t="shared" si="0"/>
        <v>617202</v>
      </c>
      <c r="AE61" s="10">
        <f t="shared" si="0"/>
        <v>168014</v>
      </c>
      <c r="AF61" s="10">
        <f t="shared" si="0"/>
        <v>164650</v>
      </c>
      <c r="AG61" s="10">
        <f t="shared" si="0"/>
        <v>13943</v>
      </c>
      <c r="AH61" s="11">
        <f>SUM(B61:AG61)</f>
        <v>5446042.20414</v>
      </c>
    </row>
    <row r="62" spans="1:34" x14ac:dyDescent="0.25">
      <c r="A62" s="32" t="s">
        <v>283</v>
      </c>
      <c r="B62" s="10">
        <f t="shared" ref="B62:AG62" si="1">B69-B55-B48-B41-B34-B27-B20-B13-B6</f>
        <v>0</v>
      </c>
      <c r="C62" s="10">
        <f t="shared" si="1"/>
        <v>0</v>
      </c>
      <c r="D62" s="10">
        <f t="shared" si="1"/>
        <v>0</v>
      </c>
      <c r="E62" s="10">
        <f t="shared" si="1"/>
        <v>0</v>
      </c>
      <c r="F62" s="10">
        <f t="shared" si="1"/>
        <v>-1</v>
      </c>
      <c r="G62" s="10">
        <f t="shared" si="1"/>
        <v>0</v>
      </c>
      <c r="H62" s="10">
        <f t="shared" si="1"/>
        <v>0</v>
      </c>
      <c r="I62" s="10">
        <f t="shared" si="1"/>
        <v>0</v>
      </c>
      <c r="J62" s="10">
        <f t="shared" si="1"/>
        <v>1</v>
      </c>
      <c r="K62" s="10">
        <f t="shared" si="1"/>
        <v>914</v>
      </c>
      <c r="L62" s="10">
        <f t="shared" si="1"/>
        <v>3288</v>
      </c>
      <c r="M62" s="10">
        <f t="shared" si="1"/>
        <v>12200</v>
      </c>
      <c r="N62" s="10">
        <f t="shared" si="1"/>
        <v>7590</v>
      </c>
      <c r="O62" s="10">
        <f t="shared" si="1"/>
        <v>1408</v>
      </c>
      <c r="P62" s="10">
        <f t="shared" si="1"/>
        <v>174</v>
      </c>
      <c r="Q62" s="10">
        <f t="shared" si="1"/>
        <v>351</v>
      </c>
      <c r="R62" s="10">
        <f t="shared" si="1"/>
        <v>450</v>
      </c>
      <c r="S62" s="10">
        <f t="shared" si="1"/>
        <v>0</v>
      </c>
      <c r="T62" s="10">
        <f t="shared" si="1"/>
        <v>3056.9149999999991</v>
      </c>
      <c r="U62" s="10">
        <f t="shared" si="1"/>
        <v>0</v>
      </c>
      <c r="V62" s="10">
        <f t="shared" si="1"/>
        <v>0</v>
      </c>
      <c r="W62" s="10">
        <f t="shared" si="1"/>
        <v>8187</v>
      </c>
      <c r="X62" s="10">
        <f t="shared" si="1"/>
        <v>-1</v>
      </c>
      <c r="Y62" s="10">
        <f t="shared" si="1"/>
        <v>2</v>
      </c>
      <c r="Z62" s="10">
        <f t="shared" si="1"/>
        <v>1670</v>
      </c>
      <c r="AA62" s="10">
        <f t="shared" si="1"/>
        <v>0</v>
      </c>
      <c r="AB62" s="10">
        <f t="shared" si="1"/>
        <v>0</v>
      </c>
      <c r="AC62" s="10">
        <f t="shared" si="1"/>
        <v>13821</v>
      </c>
      <c r="AD62" s="10">
        <f t="shared" si="1"/>
        <v>958</v>
      </c>
      <c r="AE62" s="10">
        <f t="shared" si="1"/>
        <v>1734</v>
      </c>
      <c r="AF62" s="10">
        <f t="shared" si="1"/>
        <v>-879</v>
      </c>
      <c r="AG62" s="10">
        <f t="shared" si="1"/>
        <v>0</v>
      </c>
      <c r="AH62" s="11">
        <f>SUM(B62:AG62)</f>
        <v>54923.915000000001</v>
      </c>
    </row>
    <row r="63" spans="1:34" x14ac:dyDescent="0.25">
      <c r="A63" s="32" t="s">
        <v>284</v>
      </c>
      <c r="B63" s="10">
        <f t="shared" ref="B63:AG63" si="2">B70-B56-B49-B42-B35-B28-B21-B14-B7</f>
        <v>1236</v>
      </c>
      <c r="C63" s="10">
        <f t="shared" si="2"/>
        <v>0</v>
      </c>
      <c r="D63" s="10">
        <f t="shared" si="2"/>
        <v>54226</v>
      </c>
      <c r="E63" s="10">
        <f t="shared" si="2"/>
        <v>284101</v>
      </c>
      <c r="F63" s="10">
        <f t="shared" si="2"/>
        <v>13065</v>
      </c>
      <c r="G63" s="10">
        <f t="shared" si="2"/>
        <v>0</v>
      </c>
      <c r="H63" s="10">
        <f t="shared" si="2"/>
        <v>5856</v>
      </c>
      <c r="I63" s="10">
        <f t="shared" si="2"/>
        <v>52361.599999999999</v>
      </c>
      <c r="J63" s="10">
        <f t="shared" si="2"/>
        <v>9</v>
      </c>
      <c r="K63" s="10">
        <f t="shared" si="2"/>
        <v>35648</v>
      </c>
      <c r="L63" s="10">
        <f t="shared" si="2"/>
        <v>12376</v>
      </c>
      <c r="M63" s="10">
        <f t="shared" si="2"/>
        <v>-175485</v>
      </c>
      <c r="N63" s="10">
        <f t="shared" si="2"/>
        <v>113480</v>
      </c>
      <c r="O63" s="10">
        <f t="shared" si="2"/>
        <v>63472</v>
      </c>
      <c r="P63" s="10">
        <f t="shared" si="2"/>
        <v>2663</v>
      </c>
      <c r="Q63" s="10">
        <f t="shared" si="2"/>
        <v>17437</v>
      </c>
      <c r="R63" s="10">
        <f t="shared" si="2"/>
        <v>-7382</v>
      </c>
      <c r="S63" s="10">
        <f t="shared" si="2"/>
        <v>0</v>
      </c>
      <c r="T63" s="10">
        <f t="shared" si="2"/>
        <v>19728.573895499976</v>
      </c>
      <c r="U63" s="10">
        <f t="shared" si="2"/>
        <v>-54</v>
      </c>
      <c r="V63" s="10">
        <f t="shared" si="2"/>
        <v>0</v>
      </c>
      <c r="W63" s="10">
        <f t="shared" si="2"/>
        <v>1498</v>
      </c>
      <c r="X63" s="10">
        <f t="shared" si="2"/>
        <v>237256</v>
      </c>
      <c r="Y63" s="10">
        <f t="shared" si="2"/>
        <v>-30854</v>
      </c>
      <c r="Z63" s="10">
        <f t="shared" si="2"/>
        <v>72647</v>
      </c>
      <c r="AA63" s="10">
        <f t="shared" si="2"/>
        <v>1201</v>
      </c>
      <c r="AB63" s="10">
        <f t="shared" si="2"/>
        <v>227316</v>
      </c>
      <c r="AC63" s="10">
        <f t="shared" si="2"/>
        <v>324245</v>
      </c>
      <c r="AD63" s="10">
        <f t="shared" si="2"/>
        <v>159999</v>
      </c>
      <c r="AE63" s="10">
        <f t="shared" si="2"/>
        <v>20357</v>
      </c>
      <c r="AF63" s="10">
        <f t="shared" si="2"/>
        <v>48795</v>
      </c>
      <c r="AG63" s="10">
        <f t="shared" si="2"/>
        <v>4971</v>
      </c>
      <c r="AH63" s="11">
        <f>SUM(B63:AG63)</f>
        <v>1560169.1738954999</v>
      </c>
    </row>
    <row r="64" spans="1:34" x14ac:dyDescent="0.25">
      <c r="A64" s="32" t="s">
        <v>233</v>
      </c>
      <c r="B64" s="10">
        <f>B71-B57-B50-B43-B36-B29-B22-B15-B8</f>
        <v>-1236</v>
      </c>
      <c r="C64" s="10">
        <f t="shared" ref="C64:AG64" si="3">C71-C57-C50-C43-C36-C29-C22-C15-C8</f>
        <v>0</v>
      </c>
      <c r="D64" s="10">
        <f t="shared" si="3"/>
        <v>15294</v>
      </c>
      <c r="E64" s="10">
        <f t="shared" si="3"/>
        <v>-65252</v>
      </c>
      <c r="F64" s="10">
        <f t="shared" si="3"/>
        <v>7834</v>
      </c>
      <c r="G64" s="10">
        <f t="shared" si="3"/>
        <v>0</v>
      </c>
      <c r="H64" s="10">
        <f t="shared" si="3"/>
        <v>9866</v>
      </c>
      <c r="I64" s="10">
        <f t="shared" si="3"/>
        <v>-45621.48</v>
      </c>
      <c r="J64" s="10">
        <f t="shared" si="3"/>
        <v>23</v>
      </c>
      <c r="K64" s="10">
        <f t="shared" si="3"/>
        <v>18213</v>
      </c>
      <c r="L64" s="10">
        <f t="shared" si="3"/>
        <v>66758</v>
      </c>
      <c r="M64" s="10">
        <f t="shared" si="3"/>
        <v>-25149</v>
      </c>
      <c r="N64" s="10">
        <f t="shared" si="3"/>
        <v>122320</v>
      </c>
      <c r="O64" s="10">
        <f t="shared" si="3"/>
        <v>214079</v>
      </c>
      <c r="P64" s="10">
        <f t="shared" si="3"/>
        <v>-1477</v>
      </c>
      <c r="Q64" s="10">
        <f t="shared" si="3"/>
        <v>12820</v>
      </c>
      <c r="R64" s="10">
        <f t="shared" si="3"/>
        <v>-4709</v>
      </c>
      <c r="S64" s="10">
        <f t="shared" si="3"/>
        <v>0</v>
      </c>
      <c r="T64" s="10">
        <f t="shared" si="3"/>
        <v>113231.42524449981</v>
      </c>
      <c r="U64" s="10">
        <f t="shared" si="3"/>
        <v>-54</v>
      </c>
      <c r="V64" s="10">
        <f t="shared" si="3"/>
        <v>0</v>
      </c>
      <c r="W64" s="10">
        <f t="shared" si="3"/>
        <v>32474</v>
      </c>
      <c r="X64" s="10">
        <f t="shared" si="3"/>
        <v>-205491</v>
      </c>
      <c r="Y64" s="10">
        <f t="shared" si="3"/>
        <v>-24611</v>
      </c>
      <c r="Z64" s="10">
        <f t="shared" si="3"/>
        <v>17750</v>
      </c>
      <c r="AA64" s="10">
        <f t="shared" si="3"/>
        <v>834</v>
      </c>
      <c r="AB64" s="10">
        <f t="shared" si="3"/>
        <v>2664976</v>
      </c>
      <c r="AC64" s="10">
        <f t="shared" si="3"/>
        <v>-141123</v>
      </c>
      <c r="AD64" s="10">
        <f t="shared" si="3"/>
        <v>458162</v>
      </c>
      <c r="AE64" s="10">
        <f t="shared" si="3"/>
        <v>149391</v>
      </c>
      <c r="AF64" s="10">
        <f t="shared" si="3"/>
        <v>114976</v>
      </c>
      <c r="AG64" s="10">
        <f t="shared" si="3"/>
        <v>8972</v>
      </c>
      <c r="AH64" s="11">
        <f>SUM(B64:AG64)</f>
        <v>3513249.9452444999</v>
      </c>
    </row>
    <row r="65" spans="1:34" x14ac:dyDescent="0.25">
      <c r="A65" s="30"/>
    </row>
    <row r="66" spans="1:34" x14ac:dyDescent="0.25">
      <c r="A66" s="31" t="s">
        <v>48</v>
      </c>
    </row>
    <row r="67" spans="1:34" x14ac:dyDescent="0.25">
      <c r="A67" s="3" t="s">
        <v>0</v>
      </c>
      <c r="B67" s="89" t="s">
        <v>1</v>
      </c>
      <c r="C67" s="89" t="s">
        <v>290</v>
      </c>
      <c r="D67" s="89" t="s">
        <v>3</v>
      </c>
      <c r="E67" s="89" t="s">
        <v>4</v>
      </c>
      <c r="F67" s="89" t="s">
        <v>5</v>
      </c>
      <c r="G67" s="89" t="s">
        <v>291</v>
      </c>
      <c r="H67" s="89" t="s">
        <v>292</v>
      </c>
      <c r="I67" s="89" t="s">
        <v>8</v>
      </c>
      <c r="J67" s="89" t="s">
        <v>7</v>
      </c>
      <c r="K67" s="89" t="s">
        <v>9</v>
      </c>
      <c r="L67" s="89" t="s">
        <v>288</v>
      </c>
      <c r="M67" s="89" t="s">
        <v>11</v>
      </c>
      <c r="N67" s="89" t="s">
        <v>12</v>
      </c>
      <c r="O67" s="89" t="s">
        <v>13</v>
      </c>
      <c r="P67" s="89" t="s">
        <v>14</v>
      </c>
      <c r="Q67" s="89" t="s">
        <v>15</v>
      </c>
      <c r="R67" s="89" t="s">
        <v>16</v>
      </c>
      <c r="S67" s="89" t="s">
        <v>293</v>
      </c>
      <c r="T67" s="92" t="s">
        <v>17</v>
      </c>
      <c r="U67" s="92" t="s">
        <v>294</v>
      </c>
      <c r="V67" s="92" t="s">
        <v>313</v>
      </c>
      <c r="W67" s="89" t="s">
        <v>289</v>
      </c>
      <c r="X67" s="89" t="s">
        <v>295</v>
      </c>
      <c r="Y67" s="89" t="s">
        <v>20</v>
      </c>
      <c r="Z67" s="89" t="s">
        <v>21</v>
      </c>
      <c r="AA67" s="89" t="s">
        <v>22</v>
      </c>
      <c r="AB67" s="89" t="s">
        <v>23</v>
      </c>
      <c r="AC67" s="89" t="s">
        <v>24</v>
      </c>
      <c r="AD67" s="88" t="s">
        <v>296</v>
      </c>
      <c r="AE67" s="88" t="s">
        <v>297</v>
      </c>
      <c r="AF67" s="88" t="s">
        <v>25</v>
      </c>
      <c r="AG67" s="89" t="s">
        <v>26</v>
      </c>
      <c r="AH67" s="45" t="s">
        <v>27</v>
      </c>
    </row>
    <row r="68" spans="1:34" x14ac:dyDescent="0.25">
      <c r="A68" s="32" t="s">
        <v>232</v>
      </c>
      <c r="B68" s="10">
        <v>50011</v>
      </c>
      <c r="C68" s="10">
        <v>442824</v>
      </c>
      <c r="D68" s="10">
        <v>69521</v>
      </c>
      <c r="E68" s="10">
        <v>1897203</v>
      </c>
      <c r="F68" s="10">
        <v>431194</v>
      </c>
      <c r="G68" s="10">
        <v>964263</v>
      </c>
      <c r="H68" s="10">
        <v>915373</v>
      </c>
      <c r="I68" s="10">
        <v>6740.12</v>
      </c>
      <c r="J68" s="10">
        <v>54302</v>
      </c>
      <c r="K68" s="10">
        <v>573516</v>
      </c>
      <c r="L68" s="10">
        <v>519123</v>
      </c>
      <c r="M68" s="10">
        <v>2399210</v>
      </c>
      <c r="N68" s="10">
        <v>2901963</v>
      </c>
      <c r="O68" s="10">
        <v>1629956</v>
      </c>
      <c r="P68" s="10">
        <v>90200</v>
      </c>
      <c r="Q68" s="10">
        <v>330423</v>
      </c>
      <c r="R68" s="10">
        <v>200492</v>
      </c>
      <c r="S68" s="10">
        <v>210493</v>
      </c>
      <c r="T68" s="10">
        <v>2005530.2171400001</v>
      </c>
      <c r="U68" s="10">
        <v>2775</v>
      </c>
      <c r="V68" s="10">
        <v>706424</v>
      </c>
      <c r="W68" s="10">
        <v>110081</v>
      </c>
      <c r="X68" s="10">
        <v>1245905</v>
      </c>
      <c r="Y68" s="10">
        <v>652261</v>
      </c>
      <c r="Z68" s="10">
        <v>1151772</v>
      </c>
      <c r="AA68" s="10">
        <v>196829</v>
      </c>
      <c r="AB68" s="10">
        <v>2892292</v>
      </c>
      <c r="AC68" s="10">
        <v>1952550</v>
      </c>
      <c r="AD68" s="10">
        <v>6328148</v>
      </c>
      <c r="AE68" s="10">
        <v>2107051</v>
      </c>
      <c r="AF68" s="10">
        <v>2233969</v>
      </c>
      <c r="AG68" s="10">
        <v>452358</v>
      </c>
      <c r="AH68" s="11">
        <f>SUM(B68:AG68)</f>
        <v>35724752.337140001</v>
      </c>
    </row>
    <row r="69" spans="1:34" x14ac:dyDescent="0.25">
      <c r="A69" s="32" t="s">
        <v>283</v>
      </c>
      <c r="B69" s="10"/>
      <c r="C69" s="10"/>
      <c r="D69" s="10">
        <v>0</v>
      </c>
      <c r="E69" s="10">
        <v>18872</v>
      </c>
      <c r="F69" s="10">
        <v>3164</v>
      </c>
      <c r="G69" s="10">
        <v>1112</v>
      </c>
      <c r="H69" s="10">
        <v>605</v>
      </c>
      <c r="I69" s="10"/>
      <c r="J69" s="10">
        <v>2580</v>
      </c>
      <c r="K69" s="10">
        <v>33784</v>
      </c>
      <c r="L69" s="10">
        <v>189327</v>
      </c>
      <c r="M69" s="10">
        <v>95442</v>
      </c>
      <c r="N69" s="10">
        <v>88716</v>
      </c>
      <c r="O69" s="10">
        <v>16511</v>
      </c>
      <c r="P69" s="10">
        <v>1838</v>
      </c>
      <c r="Q69" s="10">
        <v>1288</v>
      </c>
      <c r="R69" s="10">
        <v>24290</v>
      </c>
      <c r="S69" s="10"/>
      <c r="T69" s="10">
        <v>48681.105000000003</v>
      </c>
      <c r="U69" s="10">
        <v>141</v>
      </c>
      <c r="V69" s="10"/>
      <c r="W69" s="10">
        <v>14077</v>
      </c>
      <c r="X69" s="10">
        <v>4688</v>
      </c>
      <c r="Y69" s="10">
        <v>45813</v>
      </c>
      <c r="Z69" s="10">
        <v>6364</v>
      </c>
      <c r="AA69" s="10">
        <v>1411</v>
      </c>
      <c r="AB69" s="10"/>
      <c r="AC69" s="10">
        <v>73996</v>
      </c>
      <c r="AD69" s="10">
        <v>460295</v>
      </c>
      <c r="AE69" s="10">
        <v>114510</v>
      </c>
      <c r="AF69" s="10">
        <v>126533</v>
      </c>
      <c r="AG69" s="10">
        <v>705</v>
      </c>
      <c r="AH69" s="11">
        <f>SUM(B69:AG69)</f>
        <v>1374743.105</v>
      </c>
    </row>
    <row r="70" spans="1:34" x14ac:dyDescent="0.25">
      <c r="A70" s="32" t="s">
        <v>284</v>
      </c>
      <c r="B70" s="10">
        <v>76726</v>
      </c>
      <c r="C70" s="10">
        <v>-445007</v>
      </c>
      <c r="D70" s="10">
        <v>54226</v>
      </c>
      <c r="E70" s="10">
        <v>2415766</v>
      </c>
      <c r="F70" s="10">
        <v>229701</v>
      </c>
      <c r="G70" s="10">
        <v>861134</v>
      </c>
      <c r="H70" s="10">
        <v>830606</v>
      </c>
      <c r="I70" s="10">
        <v>52361.599999999999</v>
      </c>
      <c r="J70" s="10">
        <v>26630</v>
      </c>
      <c r="K70" s="10">
        <v>563004</v>
      </c>
      <c r="L70" s="10">
        <v>485313</v>
      </c>
      <c r="M70" s="10">
        <v>-3042825</v>
      </c>
      <c r="N70" s="10">
        <v>1952775</v>
      </c>
      <c r="O70" s="10">
        <v>800162</v>
      </c>
      <c r="P70" s="10">
        <v>59637</v>
      </c>
      <c r="Q70" s="10">
        <v>94347</v>
      </c>
      <c r="R70" s="10">
        <v>-345215</v>
      </c>
      <c r="S70" s="10">
        <v>13147</v>
      </c>
      <c r="T70" s="10">
        <v>234029.68599999999</v>
      </c>
      <c r="U70" s="10">
        <v>295</v>
      </c>
      <c r="V70" s="10">
        <v>550619</v>
      </c>
      <c r="W70" s="10">
        <v>17691</v>
      </c>
      <c r="X70" s="10">
        <v>1308538</v>
      </c>
      <c r="Y70" s="10">
        <v>-541038</v>
      </c>
      <c r="Z70" s="10">
        <v>809424</v>
      </c>
      <c r="AA70" s="10">
        <v>22055</v>
      </c>
      <c r="AB70" s="10">
        <v>227316</v>
      </c>
      <c r="AC70" s="10">
        <v>1661326</v>
      </c>
      <c r="AD70" s="10">
        <v>1792828</v>
      </c>
      <c r="AE70" s="10">
        <v>524846</v>
      </c>
      <c r="AF70" s="10">
        <v>498755</v>
      </c>
      <c r="AG70" s="10">
        <v>149767</v>
      </c>
      <c r="AH70" s="11">
        <f>SUM(B70:AG70)</f>
        <v>11938940.285999998</v>
      </c>
    </row>
    <row r="71" spans="1:34" x14ac:dyDescent="0.25">
      <c r="A71" s="32" t="s">
        <v>233</v>
      </c>
      <c r="B71" s="10">
        <v>-26715</v>
      </c>
      <c r="C71" s="10">
        <v>-2183</v>
      </c>
      <c r="D71" s="10">
        <v>15294</v>
      </c>
      <c r="E71" s="10">
        <v>-499691</v>
      </c>
      <c r="F71" s="10">
        <v>204658</v>
      </c>
      <c r="G71" s="10">
        <v>104241</v>
      </c>
      <c r="H71" s="10">
        <v>85372</v>
      </c>
      <c r="I71" s="10">
        <v>-45621.48</v>
      </c>
      <c r="J71" s="10">
        <v>30252</v>
      </c>
      <c r="K71" s="10">
        <v>44296</v>
      </c>
      <c r="L71" s="10">
        <v>223137</v>
      </c>
      <c r="M71" s="10">
        <v>-548173</v>
      </c>
      <c r="N71" s="10">
        <v>1037904</v>
      </c>
      <c r="O71" s="10">
        <v>846305</v>
      </c>
      <c r="P71" s="10">
        <v>32401</v>
      </c>
      <c r="Q71" s="10">
        <v>237364</v>
      </c>
      <c r="R71" s="10">
        <v>-120433</v>
      </c>
      <c r="S71" s="10">
        <v>197346</v>
      </c>
      <c r="T71" s="10">
        <v>1820181.6361400001</v>
      </c>
      <c r="U71" s="10">
        <v>3211</v>
      </c>
      <c r="V71" s="10">
        <v>155805</v>
      </c>
      <c r="W71" s="10">
        <v>106467</v>
      </c>
      <c r="X71" s="10">
        <v>-57945</v>
      </c>
      <c r="Y71" s="10">
        <v>157036</v>
      </c>
      <c r="Z71" s="10">
        <v>348712</v>
      </c>
      <c r="AA71" s="10">
        <v>176186</v>
      </c>
      <c r="AB71" s="10">
        <v>2664976</v>
      </c>
      <c r="AC71" s="10">
        <v>365220</v>
      </c>
      <c r="AD71" s="10">
        <v>4995616</v>
      </c>
      <c r="AE71" s="10">
        <v>1696715</v>
      </c>
      <c r="AF71" s="10">
        <v>1861747</v>
      </c>
      <c r="AG71" s="10">
        <v>303296</v>
      </c>
      <c r="AH71" s="11">
        <f>SUM(B71:AG71)</f>
        <v>16412977.15614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5.7109375" style="7" customWidth="1"/>
    <col min="2" max="33" width="16" style="7" customWidth="1"/>
    <col min="34" max="34" width="16" style="8" customWidth="1"/>
    <col min="35" max="16384" width="9.140625" style="7"/>
  </cols>
  <sheetData>
    <row r="1" spans="1:34" ht="18.75" x14ac:dyDescent="0.3">
      <c r="A1" s="5" t="s">
        <v>210</v>
      </c>
    </row>
    <row r="2" spans="1:34" x14ac:dyDescent="0.25">
      <c r="A2" s="6" t="s">
        <v>40</v>
      </c>
    </row>
    <row r="3" spans="1:34" x14ac:dyDescent="0.25">
      <c r="A3" s="1" t="s">
        <v>0</v>
      </c>
      <c r="B3" s="89" t="s">
        <v>1</v>
      </c>
      <c r="C3" s="89" t="s">
        <v>290</v>
      </c>
      <c r="D3" s="89" t="s">
        <v>3</v>
      </c>
      <c r="E3" s="89" t="s">
        <v>4</v>
      </c>
      <c r="F3" s="89" t="s">
        <v>5</v>
      </c>
      <c r="G3" s="89" t="s">
        <v>291</v>
      </c>
      <c r="H3" s="89" t="s">
        <v>292</v>
      </c>
      <c r="I3" s="89" t="s">
        <v>8</v>
      </c>
      <c r="J3" s="89" t="s">
        <v>7</v>
      </c>
      <c r="K3" s="89" t="s">
        <v>9</v>
      </c>
      <c r="L3" s="89" t="s">
        <v>288</v>
      </c>
      <c r="M3" s="89" t="s">
        <v>11</v>
      </c>
      <c r="N3" s="89" t="s">
        <v>12</v>
      </c>
      <c r="O3" s="89" t="s">
        <v>13</v>
      </c>
      <c r="P3" s="89" t="s">
        <v>14</v>
      </c>
      <c r="Q3" s="89" t="s">
        <v>15</v>
      </c>
      <c r="R3" s="89" t="s">
        <v>16</v>
      </c>
      <c r="S3" s="89" t="s">
        <v>293</v>
      </c>
      <c r="T3" s="92" t="s">
        <v>17</v>
      </c>
      <c r="U3" s="92" t="s">
        <v>294</v>
      </c>
      <c r="V3" s="92" t="s">
        <v>313</v>
      </c>
      <c r="W3" s="89" t="s">
        <v>289</v>
      </c>
      <c r="X3" s="89" t="s">
        <v>295</v>
      </c>
      <c r="Y3" s="89" t="s">
        <v>20</v>
      </c>
      <c r="Z3" s="89" t="s">
        <v>21</v>
      </c>
      <c r="AA3" s="89" t="s">
        <v>22</v>
      </c>
      <c r="AB3" s="89" t="s">
        <v>23</v>
      </c>
      <c r="AC3" s="89" t="s">
        <v>24</v>
      </c>
      <c r="AD3" s="88" t="s">
        <v>296</v>
      </c>
      <c r="AE3" s="88" t="s">
        <v>297</v>
      </c>
      <c r="AF3" s="88" t="s">
        <v>25</v>
      </c>
      <c r="AG3" s="89" t="s">
        <v>26</v>
      </c>
      <c r="AH3" s="56" t="s">
        <v>27</v>
      </c>
    </row>
    <row r="4" spans="1:34" x14ac:dyDescent="0.25">
      <c r="A4" s="28" t="s">
        <v>211</v>
      </c>
      <c r="B4" s="10">
        <v>204976</v>
      </c>
      <c r="C4" s="10">
        <v>843723</v>
      </c>
      <c r="D4" s="10">
        <v>298798</v>
      </c>
      <c r="E4" s="10">
        <v>2026577</v>
      </c>
      <c r="F4" s="10">
        <v>581637</v>
      </c>
      <c r="G4" s="10">
        <v>1344264</v>
      </c>
      <c r="H4" s="10">
        <v>395213</v>
      </c>
      <c r="I4" s="10">
        <v>366974.08</v>
      </c>
      <c r="J4" s="10">
        <v>164142</v>
      </c>
      <c r="K4" s="10">
        <v>590845</v>
      </c>
      <c r="L4" s="10">
        <v>417626</v>
      </c>
      <c r="M4" s="10">
        <v>1574120</v>
      </c>
      <c r="N4" s="10">
        <v>1876695</v>
      </c>
      <c r="O4" s="10">
        <v>1069838</v>
      </c>
      <c r="P4" s="10">
        <v>196452</v>
      </c>
      <c r="Q4" s="10">
        <v>365684</v>
      </c>
      <c r="R4" s="10">
        <v>314392</v>
      </c>
      <c r="S4" s="10">
        <v>391816</v>
      </c>
      <c r="T4" s="10">
        <v>4879758</v>
      </c>
      <c r="U4" s="10">
        <v>73464</v>
      </c>
      <c r="V4" s="10">
        <v>1022118</v>
      </c>
      <c r="W4" s="10">
        <v>139902</v>
      </c>
      <c r="X4" s="10">
        <v>1227193</v>
      </c>
      <c r="Y4" s="10">
        <v>502708</v>
      </c>
      <c r="Z4" s="10">
        <v>1030938</v>
      </c>
      <c r="AA4" s="10">
        <v>239531</v>
      </c>
      <c r="AB4" s="10">
        <v>2812768</v>
      </c>
      <c r="AC4" s="10">
        <v>1494163</v>
      </c>
      <c r="AD4" s="10">
        <v>8348393</v>
      </c>
      <c r="AE4" s="10">
        <v>6914598</v>
      </c>
      <c r="AF4" s="10">
        <v>7501154</v>
      </c>
      <c r="AG4" s="10">
        <v>272914</v>
      </c>
      <c r="AH4" s="11">
        <f t="shared" ref="AH4:AH17" si="0">SUM(B4:AG4)</f>
        <v>49483374.079999998</v>
      </c>
    </row>
    <row r="5" spans="1:34" x14ac:dyDescent="0.25">
      <c r="A5" s="28" t="s">
        <v>212</v>
      </c>
      <c r="B5" s="10">
        <v>178</v>
      </c>
      <c r="C5" s="10">
        <v>8210</v>
      </c>
      <c r="D5" s="10">
        <v>1473</v>
      </c>
      <c r="E5" s="10">
        <v>24837</v>
      </c>
      <c r="F5" s="10">
        <v>7208</v>
      </c>
      <c r="G5" s="10">
        <v>23317</v>
      </c>
      <c r="H5" s="10">
        <v>8708</v>
      </c>
      <c r="I5" s="10">
        <v>7774.04</v>
      </c>
      <c r="J5" s="10">
        <v>1396</v>
      </c>
      <c r="K5" s="10">
        <v>6228</v>
      </c>
      <c r="L5" s="10">
        <v>4258</v>
      </c>
      <c r="M5" s="10">
        <v>27674</v>
      </c>
      <c r="N5" s="10">
        <v>49814</v>
      </c>
      <c r="O5" s="10">
        <v>19127</v>
      </c>
      <c r="P5" s="10">
        <v>3499</v>
      </c>
      <c r="Q5" s="10">
        <v>9035</v>
      </c>
      <c r="R5" s="10">
        <v>2974</v>
      </c>
      <c r="S5" s="10">
        <v>1140</v>
      </c>
      <c r="T5" s="10">
        <v>32431</v>
      </c>
      <c r="U5" s="10">
        <v>97</v>
      </c>
      <c r="V5" s="10">
        <v>16371</v>
      </c>
      <c r="W5" s="10">
        <v>1635</v>
      </c>
      <c r="X5" s="10">
        <v>13469</v>
      </c>
      <c r="Y5" s="10">
        <v>3865</v>
      </c>
      <c r="Z5" s="10">
        <v>30440</v>
      </c>
      <c r="AA5" s="10">
        <v>11837</v>
      </c>
      <c r="AB5" s="10">
        <v>80946</v>
      </c>
      <c r="AC5" s="10">
        <v>9754</v>
      </c>
      <c r="AD5" s="10">
        <v>52751</v>
      </c>
      <c r="AE5" s="10">
        <v>28644</v>
      </c>
      <c r="AF5" s="10">
        <v>32479</v>
      </c>
      <c r="AG5" s="10">
        <v>6007</v>
      </c>
      <c r="AH5" s="11">
        <f t="shared" si="0"/>
        <v>527576.04</v>
      </c>
    </row>
    <row r="6" spans="1:34" x14ac:dyDescent="0.25">
      <c r="A6" s="28" t="s">
        <v>213</v>
      </c>
      <c r="B6" s="10">
        <v>49</v>
      </c>
      <c r="C6" s="10">
        <v>5289</v>
      </c>
      <c r="D6" s="10">
        <v>3</v>
      </c>
      <c r="E6" s="10">
        <v>875</v>
      </c>
      <c r="F6" s="10">
        <v>2984</v>
      </c>
      <c r="G6" s="10">
        <v>16086</v>
      </c>
      <c r="H6" s="10">
        <v>1814</v>
      </c>
      <c r="I6" s="10">
        <v>404.38</v>
      </c>
      <c r="J6" s="10">
        <v>523</v>
      </c>
      <c r="K6" s="10">
        <v>903</v>
      </c>
      <c r="L6" s="10">
        <v>2327</v>
      </c>
      <c r="M6" s="10">
        <v>22097</v>
      </c>
      <c r="N6" s="10">
        <v>4224</v>
      </c>
      <c r="O6" s="10">
        <v>2169</v>
      </c>
      <c r="P6" s="10">
        <v>649</v>
      </c>
      <c r="Q6" s="10">
        <v>8207</v>
      </c>
      <c r="R6" s="10">
        <v>90</v>
      </c>
      <c r="S6" s="10">
        <v>1107</v>
      </c>
      <c r="T6" s="10">
        <v>3235</v>
      </c>
      <c r="U6" s="10">
        <v>1846</v>
      </c>
      <c r="V6" s="10">
        <v>3000</v>
      </c>
      <c r="W6" s="10">
        <v>5682</v>
      </c>
      <c r="X6" s="10"/>
      <c r="Y6" s="10">
        <v>279</v>
      </c>
      <c r="Z6" s="10">
        <v>2173</v>
      </c>
      <c r="AA6" s="10">
        <v>1612</v>
      </c>
      <c r="AB6" s="10">
        <v>6945</v>
      </c>
      <c r="AC6" s="10">
        <v>9423</v>
      </c>
      <c r="AD6" s="10">
        <v>1242</v>
      </c>
      <c r="AE6" s="10">
        <v>2291</v>
      </c>
      <c r="AF6" s="10">
        <v>1635</v>
      </c>
      <c r="AG6" s="10">
        <v>476</v>
      </c>
      <c r="AH6" s="11">
        <f t="shared" si="0"/>
        <v>109639.38</v>
      </c>
    </row>
    <row r="7" spans="1:34" x14ac:dyDescent="0.25">
      <c r="A7" s="28" t="s">
        <v>214</v>
      </c>
      <c r="B7" s="10">
        <v>7092</v>
      </c>
      <c r="C7" s="10">
        <v>19468</v>
      </c>
      <c r="D7" s="10">
        <v>13764</v>
      </c>
      <c r="E7" s="10">
        <v>81314</v>
      </c>
      <c r="F7" s="10">
        <v>34820</v>
      </c>
      <c r="G7" s="10">
        <v>40418</v>
      </c>
      <c r="H7" s="10">
        <v>31302</v>
      </c>
      <c r="I7" s="10">
        <v>59945.68</v>
      </c>
      <c r="J7" s="10">
        <v>12206</v>
      </c>
      <c r="K7" s="10">
        <v>48515</v>
      </c>
      <c r="L7" s="10">
        <v>22478</v>
      </c>
      <c r="M7" s="10">
        <v>101058</v>
      </c>
      <c r="N7" s="10">
        <v>196056</v>
      </c>
      <c r="O7" s="10">
        <v>107829</v>
      </c>
      <c r="P7" s="10">
        <v>21344</v>
      </c>
      <c r="Q7" s="10">
        <v>46919</v>
      </c>
      <c r="R7" s="10">
        <v>12718</v>
      </c>
      <c r="S7" s="10">
        <v>21136</v>
      </c>
      <c r="T7" s="10">
        <v>201249</v>
      </c>
      <c r="U7" s="10">
        <v>10085</v>
      </c>
      <c r="V7" s="10">
        <v>33353</v>
      </c>
      <c r="W7" s="10">
        <v>6108</v>
      </c>
      <c r="X7" s="10">
        <v>52737</v>
      </c>
      <c r="Y7" s="10">
        <v>48563</v>
      </c>
      <c r="Z7" s="10">
        <v>74692</v>
      </c>
      <c r="AA7" s="10">
        <v>26316</v>
      </c>
      <c r="AB7" s="10">
        <v>199817</v>
      </c>
      <c r="AC7" s="10">
        <v>626922</v>
      </c>
      <c r="AD7" s="10">
        <v>319134</v>
      </c>
      <c r="AE7" s="10">
        <v>158216</v>
      </c>
      <c r="AF7" s="10">
        <v>204018</v>
      </c>
      <c r="AG7" s="10">
        <v>120322</v>
      </c>
      <c r="AH7" s="11">
        <f t="shared" si="0"/>
        <v>2959914.6799999997</v>
      </c>
    </row>
    <row r="8" spans="1:34" x14ac:dyDescent="0.25">
      <c r="A8" s="28" t="s">
        <v>215</v>
      </c>
      <c r="B8" s="10">
        <v>117</v>
      </c>
      <c r="C8" s="10">
        <v>9299</v>
      </c>
      <c r="D8" s="10">
        <v>4206</v>
      </c>
      <c r="E8" s="10">
        <v>28779</v>
      </c>
      <c r="F8" s="10">
        <v>10384</v>
      </c>
      <c r="G8" s="10">
        <v>5893</v>
      </c>
      <c r="H8" s="10">
        <v>6086</v>
      </c>
      <c r="I8" s="10">
        <v>36468.089999999997</v>
      </c>
      <c r="J8" s="10">
        <v>1632</v>
      </c>
      <c r="K8" s="10">
        <v>78850</v>
      </c>
      <c r="L8" s="10"/>
      <c r="M8" s="10">
        <v>51046</v>
      </c>
      <c r="N8" s="10">
        <v>153704</v>
      </c>
      <c r="O8" s="10">
        <v>39657</v>
      </c>
      <c r="P8" s="10">
        <v>3843</v>
      </c>
      <c r="Q8" s="10">
        <v>61961</v>
      </c>
      <c r="R8" s="10">
        <v>1262</v>
      </c>
      <c r="S8" s="10">
        <v>345</v>
      </c>
      <c r="T8" s="10">
        <v>9538</v>
      </c>
      <c r="U8" s="10">
        <v>10</v>
      </c>
      <c r="V8" s="10">
        <v>28822</v>
      </c>
      <c r="W8" s="10">
        <v>21288</v>
      </c>
      <c r="X8" s="10">
        <v>120407</v>
      </c>
      <c r="Y8" s="10">
        <v>15845</v>
      </c>
      <c r="Z8" s="10">
        <v>64780</v>
      </c>
      <c r="AA8" s="10">
        <v>3964</v>
      </c>
      <c r="AB8" s="10">
        <v>65623</v>
      </c>
      <c r="AC8" s="10">
        <v>5875</v>
      </c>
      <c r="AD8" s="10">
        <v>272125</v>
      </c>
      <c r="AE8" s="10">
        <v>46361</v>
      </c>
      <c r="AF8" s="10">
        <v>16555</v>
      </c>
      <c r="AG8" s="10">
        <v>28369</v>
      </c>
      <c r="AH8" s="11">
        <f t="shared" si="0"/>
        <v>1193094.0899999999</v>
      </c>
    </row>
    <row r="9" spans="1:34" x14ac:dyDescent="0.25">
      <c r="A9" s="28" t="s">
        <v>216</v>
      </c>
      <c r="B9" s="10">
        <v>182</v>
      </c>
      <c r="C9" s="10">
        <v>9761</v>
      </c>
      <c r="D9" s="10">
        <v>4956</v>
      </c>
      <c r="E9" s="10">
        <v>16013</v>
      </c>
      <c r="F9" s="10">
        <v>5654</v>
      </c>
      <c r="G9" s="10">
        <v>9179</v>
      </c>
      <c r="H9" s="10">
        <v>6295</v>
      </c>
      <c r="I9" s="10">
        <v>1790.06</v>
      </c>
      <c r="J9" s="10">
        <v>729</v>
      </c>
      <c r="K9" s="10">
        <v>11945</v>
      </c>
      <c r="L9" s="10">
        <v>1871</v>
      </c>
      <c r="M9" s="10">
        <v>30631</v>
      </c>
      <c r="N9" s="10">
        <v>23520</v>
      </c>
      <c r="O9" s="10">
        <v>11987</v>
      </c>
      <c r="P9" s="10">
        <v>1871</v>
      </c>
      <c r="Q9" s="10">
        <v>10293</v>
      </c>
      <c r="R9" s="10">
        <v>956</v>
      </c>
      <c r="S9" s="10">
        <v>2111</v>
      </c>
      <c r="T9" s="10">
        <v>71871</v>
      </c>
      <c r="U9" s="10">
        <v>194</v>
      </c>
      <c r="V9" s="10">
        <v>937</v>
      </c>
      <c r="W9" s="10">
        <v>1841</v>
      </c>
      <c r="X9" s="10">
        <v>4366</v>
      </c>
      <c r="Y9" s="10">
        <v>6948</v>
      </c>
      <c r="Z9" s="10">
        <v>30948</v>
      </c>
      <c r="AA9" s="10">
        <v>2899</v>
      </c>
      <c r="AB9" s="10">
        <v>46866</v>
      </c>
      <c r="AC9" s="10">
        <v>15154</v>
      </c>
      <c r="AD9" s="10">
        <v>59783</v>
      </c>
      <c r="AE9" s="10">
        <v>15183</v>
      </c>
      <c r="AF9" s="10">
        <v>21548</v>
      </c>
      <c r="AG9" s="10">
        <v>5153</v>
      </c>
      <c r="AH9" s="11">
        <f t="shared" si="0"/>
        <v>433435.06</v>
      </c>
    </row>
    <row r="10" spans="1:34" x14ac:dyDescent="0.25">
      <c r="A10" s="28" t="s">
        <v>217</v>
      </c>
      <c r="B10" s="10">
        <v>1596</v>
      </c>
      <c r="C10" s="10">
        <v>16027</v>
      </c>
      <c r="D10" s="10">
        <v>1038</v>
      </c>
      <c r="E10" s="10">
        <v>41999</v>
      </c>
      <c r="F10" s="10">
        <v>64396</v>
      </c>
      <c r="G10" s="10">
        <v>34542</v>
      </c>
      <c r="H10" s="10">
        <v>14559</v>
      </c>
      <c r="I10" s="10">
        <v>3181.95</v>
      </c>
      <c r="J10" s="10">
        <v>1196</v>
      </c>
      <c r="K10" s="10">
        <v>20902</v>
      </c>
      <c r="L10" s="10">
        <v>4796</v>
      </c>
      <c r="M10" s="10">
        <v>21896</v>
      </c>
      <c r="N10" s="10">
        <v>101060</v>
      </c>
      <c r="O10" s="10">
        <v>22522</v>
      </c>
      <c r="P10" s="10">
        <v>2431</v>
      </c>
      <c r="Q10" s="10">
        <v>77886</v>
      </c>
      <c r="R10" s="10">
        <v>1962</v>
      </c>
      <c r="S10" s="10">
        <v>10615</v>
      </c>
      <c r="T10" s="10">
        <v>15585</v>
      </c>
      <c r="U10" s="10">
        <v>593</v>
      </c>
      <c r="V10" s="10">
        <v>35963</v>
      </c>
      <c r="W10" s="10">
        <v>7008</v>
      </c>
      <c r="X10" s="10">
        <v>31917</v>
      </c>
      <c r="Y10" s="10">
        <v>16713</v>
      </c>
      <c r="Z10" s="10">
        <v>46978</v>
      </c>
      <c r="AA10" s="10">
        <v>7584</v>
      </c>
      <c r="AB10" s="10">
        <v>91549</v>
      </c>
      <c r="AC10" s="10">
        <v>43770</v>
      </c>
      <c r="AD10" s="10">
        <v>39883</v>
      </c>
      <c r="AE10" s="10">
        <v>17248</v>
      </c>
      <c r="AF10" s="10">
        <v>47139</v>
      </c>
      <c r="AG10" s="10">
        <v>11820</v>
      </c>
      <c r="AH10" s="11">
        <f t="shared" si="0"/>
        <v>856354.95</v>
      </c>
    </row>
    <row r="11" spans="1:34" x14ac:dyDescent="0.25">
      <c r="A11" s="28" t="s">
        <v>218</v>
      </c>
      <c r="B11" s="10">
        <v>17676</v>
      </c>
      <c r="C11" s="10">
        <v>24360</v>
      </c>
      <c r="D11" s="10">
        <v>4729</v>
      </c>
      <c r="E11" s="10">
        <v>40352</v>
      </c>
      <c r="F11" s="10">
        <v>54105</v>
      </c>
      <c r="G11" s="10">
        <v>74125</v>
      </c>
      <c r="H11" s="10">
        <v>17386</v>
      </c>
      <c r="I11" s="10">
        <v>8357.01</v>
      </c>
      <c r="J11" s="10">
        <v>7558</v>
      </c>
      <c r="K11" s="10">
        <v>153004</v>
      </c>
      <c r="L11" s="10">
        <v>478436</v>
      </c>
      <c r="M11" s="10">
        <v>980762</v>
      </c>
      <c r="N11" s="10">
        <v>180918</v>
      </c>
      <c r="O11" s="10">
        <v>143133</v>
      </c>
      <c r="P11" s="10">
        <v>10641</v>
      </c>
      <c r="Q11" s="10">
        <v>123575</v>
      </c>
      <c r="R11" s="10">
        <v>12425</v>
      </c>
      <c r="S11" s="10">
        <v>49156</v>
      </c>
      <c r="T11" s="10">
        <v>23338</v>
      </c>
      <c r="U11" s="10">
        <v>8072</v>
      </c>
      <c r="V11" s="10">
        <v>30865</v>
      </c>
      <c r="W11" s="10">
        <v>27257</v>
      </c>
      <c r="X11" s="10">
        <v>40642</v>
      </c>
      <c r="Y11" s="10">
        <v>5111</v>
      </c>
      <c r="Z11" s="10">
        <v>220692</v>
      </c>
      <c r="AA11" s="10">
        <v>60886</v>
      </c>
      <c r="AB11" s="10">
        <v>84671</v>
      </c>
      <c r="AC11" s="10">
        <v>1041724</v>
      </c>
      <c r="AD11" s="10">
        <v>130496</v>
      </c>
      <c r="AE11" s="10">
        <v>5076</v>
      </c>
      <c r="AF11" s="10">
        <v>22556</v>
      </c>
      <c r="AG11" s="10">
        <v>15559</v>
      </c>
      <c r="AH11" s="11">
        <f t="shared" si="0"/>
        <v>4097643.01</v>
      </c>
    </row>
    <row r="12" spans="1:34" x14ac:dyDescent="0.25">
      <c r="A12" s="28" t="s">
        <v>219</v>
      </c>
      <c r="B12" s="10">
        <v>751993</v>
      </c>
      <c r="C12" s="10">
        <v>297249</v>
      </c>
      <c r="D12" s="10">
        <v>76190</v>
      </c>
      <c r="E12" s="10">
        <v>192777</v>
      </c>
      <c r="F12" s="10">
        <v>801607</v>
      </c>
      <c r="G12" s="10">
        <v>384041</v>
      </c>
      <c r="H12" s="10">
        <v>508150</v>
      </c>
      <c r="I12" s="10">
        <v>4993.33</v>
      </c>
      <c r="J12" s="10">
        <v>52337</v>
      </c>
      <c r="K12" s="10">
        <v>499342</v>
      </c>
      <c r="L12" s="10">
        <v>741207</v>
      </c>
      <c r="M12" s="10">
        <v>1205025</v>
      </c>
      <c r="N12" s="10">
        <v>902834</v>
      </c>
      <c r="O12" s="10">
        <v>287852</v>
      </c>
      <c r="P12" s="10">
        <v>83924</v>
      </c>
      <c r="Q12" s="10">
        <v>98312</v>
      </c>
      <c r="R12" s="10">
        <v>534634</v>
      </c>
      <c r="S12" s="10">
        <v>191036</v>
      </c>
      <c r="T12" s="10">
        <v>2671</v>
      </c>
      <c r="U12" s="10">
        <v>20293</v>
      </c>
      <c r="V12" s="10">
        <v>518402</v>
      </c>
      <c r="W12" s="10">
        <v>171116</v>
      </c>
      <c r="X12" s="10">
        <v>1674778</v>
      </c>
      <c r="Y12" s="10">
        <v>67732</v>
      </c>
      <c r="Z12" s="10">
        <v>254653</v>
      </c>
      <c r="AA12" s="10">
        <v>287</v>
      </c>
      <c r="AB12" s="10">
        <v>253075</v>
      </c>
      <c r="AC12" s="10">
        <v>539039</v>
      </c>
      <c r="AD12" s="10">
        <v>59849</v>
      </c>
      <c r="AE12" s="10"/>
      <c r="AF12" s="10">
        <v>720</v>
      </c>
      <c r="AG12" s="10">
        <v>14798</v>
      </c>
      <c r="AH12" s="11">
        <f t="shared" si="0"/>
        <v>11190916.33</v>
      </c>
    </row>
    <row r="13" spans="1:34" x14ac:dyDescent="0.25">
      <c r="A13" s="28" t="s">
        <v>220</v>
      </c>
      <c r="B13" s="10">
        <v>6040</v>
      </c>
      <c r="C13" s="10">
        <v>6774</v>
      </c>
      <c r="D13" s="10">
        <v>18</v>
      </c>
      <c r="E13" s="10">
        <v>67406</v>
      </c>
      <c r="F13" s="10">
        <v>16510</v>
      </c>
      <c r="G13" s="10">
        <v>22101</v>
      </c>
      <c r="H13" s="10">
        <v>30976</v>
      </c>
      <c r="I13" s="10">
        <v>11.6</v>
      </c>
      <c r="J13" s="10">
        <v>1185</v>
      </c>
      <c r="K13" s="10">
        <v>16804</v>
      </c>
      <c r="L13" s="10">
        <v>21451</v>
      </c>
      <c r="M13" s="10">
        <v>100055</v>
      </c>
      <c r="N13" s="10">
        <v>94218</v>
      </c>
      <c r="O13" s="10">
        <v>42750</v>
      </c>
      <c r="P13" s="10">
        <v>4148</v>
      </c>
      <c r="Q13" s="10">
        <v>7557</v>
      </c>
      <c r="R13" s="10">
        <v>11207</v>
      </c>
      <c r="S13" s="10">
        <v>7679</v>
      </c>
      <c r="T13" s="10">
        <v>6753</v>
      </c>
      <c r="U13" s="10">
        <v>83</v>
      </c>
      <c r="V13" s="10">
        <v>19406</v>
      </c>
      <c r="W13" s="10">
        <v>3675</v>
      </c>
      <c r="X13" s="10">
        <v>38152</v>
      </c>
      <c r="Y13" s="10">
        <v>14680</v>
      </c>
      <c r="Z13" s="10">
        <v>23139</v>
      </c>
      <c r="AA13" s="10">
        <v>16555</v>
      </c>
      <c r="AB13" s="10">
        <v>6110</v>
      </c>
      <c r="AC13" s="10">
        <v>42851</v>
      </c>
      <c r="AD13" s="10">
        <v>53377</v>
      </c>
      <c r="AE13" s="10">
        <v>7176</v>
      </c>
      <c r="AF13" s="10">
        <v>70702</v>
      </c>
      <c r="AG13" s="10">
        <v>9682</v>
      </c>
      <c r="AH13" s="11">
        <f t="shared" si="0"/>
        <v>769231.6</v>
      </c>
    </row>
    <row r="14" spans="1:34" x14ac:dyDescent="0.25">
      <c r="A14" s="29" t="s">
        <v>38</v>
      </c>
      <c r="B14" s="10">
        <f>B17-B16-B15-B13-B12-B11-B10-B9-B8-B7-B6-B5-B4</f>
        <v>95433</v>
      </c>
      <c r="C14" s="10">
        <f t="shared" ref="C14:AG14" si="1">C17-C16-C15-C13-C12-C11-C10-C9-C8-C7-C6-C5-C4</f>
        <v>151544</v>
      </c>
      <c r="D14" s="10">
        <f t="shared" si="1"/>
        <v>145163</v>
      </c>
      <c r="E14" s="10">
        <f t="shared" si="1"/>
        <v>2091670</v>
      </c>
      <c r="F14" s="10">
        <f t="shared" si="1"/>
        <v>212157</v>
      </c>
      <c r="G14" s="10">
        <f t="shared" si="1"/>
        <v>54067</v>
      </c>
      <c r="H14" s="10">
        <f t="shared" si="1"/>
        <v>1531464</v>
      </c>
      <c r="I14" s="10">
        <f t="shared" si="1"/>
        <v>21496.289999999979</v>
      </c>
      <c r="J14" s="10">
        <f t="shared" si="1"/>
        <v>44347</v>
      </c>
      <c r="K14" s="10">
        <f t="shared" si="1"/>
        <v>559740</v>
      </c>
      <c r="L14" s="10">
        <f t="shared" si="1"/>
        <v>381789</v>
      </c>
      <c r="M14" s="10">
        <f t="shared" si="1"/>
        <v>319675</v>
      </c>
      <c r="N14" s="10">
        <f t="shared" si="1"/>
        <v>2495029</v>
      </c>
      <c r="O14" s="10">
        <f t="shared" si="1"/>
        <v>124697</v>
      </c>
      <c r="P14" s="10">
        <f t="shared" si="1"/>
        <v>82715</v>
      </c>
      <c r="Q14" s="10">
        <f t="shared" si="1"/>
        <v>336938</v>
      </c>
      <c r="R14" s="10">
        <f t="shared" si="1"/>
        <v>40445</v>
      </c>
      <c r="S14" s="10">
        <f t="shared" si="1"/>
        <v>79480</v>
      </c>
      <c r="T14" s="10">
        <f t="shared" si="1"/>
        <v>493738</v>
      </c>
      <c r="U14" s="10">
        <f t="shared" si="1"/>
        <v>7606</v>
      </c>
      <c r="V14" s="10">
        <f t="shared" si="1"/>
        <v>6085</v>
      </c>
      <c r="W14" s="10">
        <f t="shared" si="1"/>
        <v>8641</v>
      </c>
      <c r="X14" s="10">
        <f t="shared" si="1"/>
        <v>256668</v>
      </c>
      <c r="Y14" s="10">
        <f t="shared" si="1"/>
        <v>516111</v>
      </c>
      <c r="Z14" s="10">
        <f t="shared" si="1"/>
        <v>577806</v>
      </c>
      <c r="AA14" s="10">
        <f t="shared" si="1"/>
        <v>475596</v>
      </c>
      <c r="AB14" s="10">
        <f t="shared" si="1"/>
        <v>-224740</v>
      </c>
      <c r="AC14" s="10">
        <f t="shared" si="1"/>
        <v>184554</v>
      </c>
      <c r="AD14" s="10">
        <f t="shared" si="1"/>
        <v>1043949</v>
      </c>
      <c r="AE14" s="10">
        <f t="shared" si="1"/>
        <v>99750</v>
      </c>
      <c r="AF14" s="10">
        <f t="shared" si="1"/>
        <v>347258</v>
      </c>
      <c r="AG14" s="10">
        <f t="shared" si="1"/>
        <v>187007</v>
      </c>
      <c r="AH14" s="11">
        <f t="shared" si="0"/>
        <v>12747878.289999999</v>
      </c>
    </row>
    <row r="15" spans="1:34" x14ac:dyDescent="0.25">
      <c r="A15" s="28" t="s">
        <v>221</v>
      </c>
      <c r="B15" s="10">
        <v>9253</v>
      </c>
      <c r="C15" s="10">
        <v>73462</v>
      </c>
      <c r="D15" s="10">
        <v>160471</v>
      </c>
      <c r="E15" s="10">
        <v>117681</v>
      </c>
      <c r="F15" s="10">
        <v>25875</v>
      </c>
      <c r="G15" s="10">
        <v>49722</v>
      </c>
      <c r="H15" s="10">
        <v>61766</v>
      </c>
      <c r="I15" s="10">
        <v>16381.63</v>
      </c>
      <c r="J15" s="10">
        <v>10703</v>
      </c>
      <c r="K15" s="10">
        <v>33394</v>
      </c>
      <c r="L15" s="10"/>
      <c r="M15" s="10">
        <v>122637</v>
      </c>
      <c r="N15" s="10">
        <v>331733</v>
      </c>
      <c r="O15" s="10">
        <v>72345</v>
      </c>
      <c r="P15" s="10">
        <v>12952</v>
      </c>
      <c r="Q15" s="10">
        <v>60449</v>
      </c>
      <c r="R15" s="10">
        <v>16946</v>
      </c>
      <c r="S15" s="10">
        <v>16801</v>
      </c>
      <c r="T15" s="10">
        <v>158326</v>
      </c>
      <c r="U15" s="10">
        <v>613</v>
      </c>
      <c r="V15" s="10">
        <v>57095</v>
      </c>
      <c r="W15" s="10">
        <v>5782</v>
      </c>
      <c r="X15" s="10">
        <v>44369</v>
      </c>
      <c r="Y15" s="10">
        <v>32681</v>
      </c>
      <c r="Z15" s="10">
        <v>173253</v>
      </c>
      <c r="AA15" s="10">
        <v>10133</v>
      </c>
      <c r="AB15" s="10">
        <v>86838</v>
      </c>
      <c r="AC15" s="10">
        <v>127072</v>
      </c>
      <c r="AD15" s="10">
        <v>245652</v>
      </c>
      <c r="AE15" s="10">
        <v>145147</v>
      </c>
      <c r="AF15" s="10">
        <v>83855</v>
      </c>
      <c r="AG15" s="10">
        <v>30519</v>
      </c>
      <c r="AH15" s="11">
        <f t="shared" si="0"/>
        <v>2393906.63</v>
      </c>
    </row>
    <row r="16" spans="1:34" x14ac:dyDescent="0.25">
      <c r="A16" s="28" t="s">
        <v>222</v>
      </c>
      <c r="B16" s="10"/>
      <c r="C16" s="10"/>
      <c r="D16" s="10">
        <v>33802</v>
      </c>
      <c r="E16" s="10">
        <v>2148</v>
      </c>
      <c r="F16" s="10">
        <v>37570</v>
      </c>
      <c r="G16" s="10">
        <v>96</v>
      </c>
      <c r="H16" s="10">
        <v>2500</v>
      </c>
      <c r="I16" s="10"/>
      <c r="J16" s="10">
        <v>446</v>
      </c>
      <c r="K16" s="10">
        <v>26687</v>
      </c>
      <c r="L16" s="10">
        <v>63</v>
      </c>
      <c r="M16" s="10"/>
      <c r="N16" s="10">
        <v>8880</v>
      </c>
      <c r="O16" s="10">
        <v>5499</v>
      </c>
      <c r="P16" s="10"/>
      <c r="Q16" s="10"/>
      <c r="R16" s="10"/>
      <c r="S16" s="10"/>
      <c r="T16" s="10">
        <v>-28266</v>
      </c>
      <c r="U16" s="10">
        <v>1701</v>
      </c>
      <c r="V16" s="10">
        <v>156</v>
      </c>
      <c r="W16" s="10">
        <v>357</v>
      </c>
      <c r="X16" s="10"/>
      <c r="Y16" s="10">
        <v>1043</v>
      </c>
      <c r="Z16" s="10"/>
      <c r="AA16" s="10"/>
      <c r="AB16" s="10"/>
      <c r="AC16" s="10">
        <v>12364</v>
      </c>
      <c r="AD16" s="10">
        <v>87626</v>
      </c>
      <c r="AE16" s="10"/>
      <c r="AF16" s="10"/>
      <c r="AG16" s="10"/>
      <c r="AH16" s="11">
        <f t="shared" si="0"/>
        <v>192672</v>
      </c>
    </row>
    <row r="17" spans="1:34" s="8" customFormat="1" x14ac:dyDescent="0.25">
      <c r="A17" s="3" t="s">
        <v>48</v>
      </c>
      <c r="B17" s="11">
        <v>1094585</v>
      </c>
      <c r="C17" s="11">
        <v>1465166</v>
      </c>
      <c r="D17" s="11">
        <v>744611</v>
      </c>
      <c r="E17" s="11">
        <v>4732428</v>
      </c>
      <c r="F17" s="11">
        <v>1854907</v>
      </c>
      <c r="G17" s="11">
        <v>2057851</v>
      </c>
      <c r="H17" s="11">
        <v>2616219</v>
      </c>
      <c r="I17" s="11">
        <v>527778.14</v>
      </c>
      <c r="J17" s="11">
        <v>298400</v>
      </c>
      <c r="K17" s="11">
        <v>2047159</v>
      </c>
      <c r="L17" s="11">
        <v>2076302</v>
      </c>
      <c r="M17" s="11">
        <v>4556676</v>
      </c>
      <c r="N17" s="11">
        <v>6418685</v>
      </c>
      <c r="O17" s="11">
        <v>1949405</v>
      </c>
      <c r="P17" s="11">
        <v>424469</v>
      </c>
      <c r="Q17" s="11">
        <v>1206816</v>
      </c>
      <c r="R17" s="11">
        <v>950011</v>
      </c>
      <c r="S17" s="11">
        <v>772422</v>
      </c>
      <c r="T17" s="11">
        <v>5870227</v>
      </c>
      <c r="U17" s="11">
        <v>124657</v>
      </c>
      <c r="V17" s="11">
        <v>1772573</v>
      </c>
      <c r="W17" s="11">
        <v>400292</v>
      </c>
      <c r="X17" s="11">
        <v>3504698</v>
      </c>
      <c r="Y17" s="11">
        <v>1232279</v>
      </c>
      <c r="Z17" s="11">
        <v>2530492</v>
      </c>
      <c r="AA17" s="11">
        <v>857200</v>
      </c>
      <c r="AB17" s="11">
        <v>3510468</v>
      </c>
      <c r="AC17" s="11">
        <v>4152665</v>
      </c>
      <c r="AD17" s="11">
        <v>10714260</v>
      </c>
      <c r="AE17" s="11">
        <v>7439690</v>
      </c>
      <c r="AF17" s="11">
        <v>8349619</v>
      </c>
      <c r="AG17" s="11">
        <v>702626</v>
      </c>
      <c r="AH17" s="11">
        <f t="shared" si="0"/>
        <v>86955636.140000001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" customWidth="1"/>
    <col min="2" max="33" width="16" style="7" customWidth="1"/>
    <col min="34" max="34" width="16" style="8" customWidth="1"/>
    <col min="35" max="16384" width="9.140625" style="7"/>
  </cols>
  <sheetData>
    <row r="1" spans="1:34" ht="18.75" x14ac:dyDescent="0.3">
      <c r="A1" s="9" t="s">
        <v>305</v>
      </c>
    </row>
    <row r="2" spans="1:34" x14ac:dyDescent="0.25">
      <c r="A2" s="7" t="s">
        <v>40</v>
      </c>
    </row>
    <row r="3" spans="1:34" x14ac:dyDescent="0.25">
      <c r="A3" s="1" t="s">
        <v>0</v>
      </c>
      <c r="B3" s="103" t="s">
        <v>1</v>
      </c>
      <c r="C3" s="103" t="s">
        <v>290</v>
      </c>
      <c r="D3" s="103" t="s">
        <v>3</v>
      </c>
      <c r="E3" s="103" t="s">
        <v>4</v>
      </c>
      <c r="F3" s="103" t="s">
        <v>5</v>
      </c>
      <c r="G3" s="103" t="s">
        <v>291</v>
      </c>
      <c r="H3" s="103" t="s">
        <v>292</v>
      </c>
      <c r="I3" s="103" t="s">
        <v>8</v>
      </c>
      <c r="J3" s="103" t="s">
        <v>7</v>
      </c>
      <c r="K3" s="103" t="s">
        <v>9</v>
      </c>
      <c r="L3" s="103" t="s">
        <v>288</v>
      </c>
      <c r="M3" s="103" t="s">
        <v>11</v>
      </c>
      <c r="N3" s="103" t="s">
        <v>12</v>
      </c>
      <c r="O3" s="103" t="s">
        <v>13</v>
      </c>
      <c r="P3" s="103" t="s">
        <v>14</v>
      </c>
      <c r="Q3" s="103" t="s">
        <v>15</v>
      </c>
      <c r="R3" s="103" t="s">
        <v>16</v>
      </c>
      <c r="S3" s="103" t="s">
        <v>293</v>
      </c>
      <c r="T3" s="103" t="s">
        <v>17</v>
      </c>
      <c r="U3" s="103" t="s">
        <v>294</v>
      </c>
      <c r="V3" s="103" t="s">
        <v>313</v>
      </c>
      <c r="W3" s="103" t="s">
        <v>289</v>
      </c>
      <c r="X3" s="103" t="s">
        <v>295</v>
      </c>
      <c r="Y3" s="103" t="s">
        <v>20</v>
      </c>
      <c r="Z3" s="103" t="s">
        <v>21</v>
      </c>
      <c r="AA3" s="103" t="s">
        <v>22</v>
      </c>
      <c r="AB3" s="103" t="s">
        <v>23</v>
      </c>
      <c r="AC3" s="103" t="s">
        <v>24</v>
      </c>
      <c r="AD3" s="102" t="s">
        <v>296</v>
      </c>
      <c r="AE3" s="102" t="s">
        <v>297</v>
      </c>
      <c r="AF3" s="102" t="s">
        <v>25</v>
      </c>
      <c r="AG3" s="103" t="s">
        <v>26</v>
      </c>
      <c r="AH3" s="103" t="s">
        <v>27</v>
      </c>
    </row>
    <row r="4" spans="1:34" x14ac:dyDescent="0.25">
      <c r="A4" s="10" t="s">
        <v>41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>
        <v>575</v>
      </c>
      <c r="AE4" s="10">
        <v>2565</v>
      </c>
      <c r="AF4" s="10">
        <v>13589</v>
      </c>
      <c r="AG4" s="10"/>
      <c r="AH4" s="11">
        <f t="shared" ref="AH4:AH11" si="0">SUM(B4:AG4)</f>
        <v>16729</v>
      </c>
    </row>
    <row r="5" spans="1:34" x14ac:dyDescent="0.25">
      <c r="A5" s="10" t="s">
        <v>42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>
        <v>207639</v>
      </c>
      <c r="Y5" s="10"/>
      <c r="Z5" s="10"/>
      <c r="AA5" s="10"/>
      <c r="AB5" s="10"/>
      <c r="AC5" s="10"/>
      <c r="AD5" s="10"/>
      <c r="AE5" s="10"/>
      <c r="AF5" s="10"/>
      <c r="AG5" s="10"/>
      <c r="AH5" s="11">
        <f t="shared" si="0"/>
        <v>207639</v>
      </c>
    </row>
    <row r="6" spans="1:34" x14ac:dyDescent="0.25">
      <c r="A6" s="10" t="s">
        <v>43</v>
      </c>
      <c r="B6" s="10"/>
      <c r="C6" s="10">
        <v>11024239</v>
      </c>
      <c r="D6" s="10"/>
      <c r="E6" s="87">
        <v>1666197</v>
      </c>
      <c r="F6" s="10">
        <v>2004538</v>
      </c>
      <c r="G6" s="10">
        <f>126209+2614844</f>
        <v>2741053</v>
      </c>
      <c r="H6" s="10">
        <v>1432645</v>
      </c>
      <c r="I6" s="10"/>
      <c r="J6" s="10"/>
      <c r="K6" s="10"/>
      <c r="L6" s="10">
        <v>9771936</v>
      </c>
      <c r="M6" s="10">
        <v>14165941</v>
      </c>
      <c r="N6" s="10">
        <v>15881446</v>
      </c>
      <c r="O6" s="10">
        <v>4519821</v>
      </c>
      <c r="P6" s="10"/>
      <c r="Q6" s="7">
        <v>7481249</v>
      </c>
      <c r="R6" s="10">
        <v>2796224</v>
      </c>
      <c r="S6" s="10">
        <v>3309418</v>
      </c>
      <c r="T6" s="10"/>
      <c r="U6" s="10"/>
      <c r="V6" s="10">
        <f>567529+ 394723</f>
        <v>962252</v>
      </c>
      <c r="W6" s="10">
        <v>923661</v>
      </c>
      <c r="X6" s="10">
        <v>7667050</v>
      </c>
      <c r="Y6" s="10">
        <v>2550000</v>
      </c>
      <c r="Z6" s="10">
        <v>13326000</v>
      </c>
      <c r="AA6" s="10">
        <v>1968</v>
      </c>
      <c r="AB6" s="10">
        <v>36852015</v>
      </c>
      <c r="AC6" s="10">
        <v>4705428</v>
      </c>
      <c r="AD6" s="10">
        <v>18908541</v>
      </c>
      <c r="AE6" s="10"/>
      <c r="AF6" s="10"/>
      <c r="AG6" s="10">
        <v>1676182</v>
      </c>
      <c r="AH6" s="11">
        <f t="shared" si="0"/>
        <v>164367804</v>
      </c>
    </row>
    <row r="7" spans="1:34" x14ac:dyDescent="0.25">
      <c r="A7" s="10" t="s">
        <v>44</v>
      </c>
      <c r="B7" s="10"/>
      <c r="C7" s="10"/>
      <c r="D7" s="10">
        <v>44339935</v>
      </c>
      <c r="E7" s="10"/>
      <c r="F7" s="10"/>
      <c r="G7" s="10"/>
      <c r="H7" s="10">
        <v>7847567</v>
      </c>
      <c r="I7" s="10">
        <v>29557229.27</v>
      </c>
      <c r="J7" s="10"/>
      <c r="K7" s="10"/>
      <c r="L7" s="10"/>
      <c r="M7" s="10"/>
      <c r="N7" s="10">
        <v>333642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>
        <v>151237</v>
      </c>
      <c r="AD7" s="10">
        <f>146204340+892246</f>
        <v>147096586</v>
      </c>
      <c r="AE7" s="10">
        <f>-3867793-5965634</f>
        <v>-9833427</v>
      </c>
      <c r="AF7" s="10"/>
      <c r="AG7" s="10"/>
      <c r="AH7" s="11">
        <f t="shared" si="0"/>
        <v>219492769.26999998</v>
      </c>
    </row>
    <row r="8" spans="1:34" x14ac:dyDescent="0.25">
      <c r="A8" s="10" t="s">
        <v>45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1">
        <f t="shared" si="0"/>
        <v>0</v>
      </c>
    </row>
    <row r="9" spans="1:34" x14ac:dyDescent="0.25">
      <c r="A9" s="10" t="s">
        <v>46</v>
      </c>
      <c r="B9" s="10">
        <f>B11-B10-B8-B7-B6-B5-B4</f>
        <v>0</v>
      </c>
      <c r="C9" s="10">
        <f t="shared" ref="C9:AG9" si="1">C11-C10-C8-C7-C6-C5-C4</f>
        <v>0</v>
      </c>
      <c r="D9" s="10">
        <f t="shared" si="1"/>
        <v>0</v>
      </c>
      <c r="E9" s="10">
        <f t="shared" si="1"/>
        <v>0</v>
      </c>
      <c r="F9" s="10">
        <f t="shared" si="1"/>
        <v>0</v>
      </c>
      <c r="G9" s="10">
        <f t="shared" si="1"/>
        <v>239955</v>
      </c>
      <c r="H9" s="10">
        <f t="shared" si="1"/>
        <v>200000</v>
      </c>
      <c r="I9" s="10">
        <f t="shared" si="1"/>
        <v>600000</v>
      </c>
      <c r="J9" s="10">
        <f t="shared" si="1"/>
        <v>0</v>
      </c>
      <c r="K9" s="10">
        <f t="shared" si="1"/>
        <v>0</v>
      </c>
      <c r="L9" s="10">
        <f t="shared" si="1"/>
        <v>209173</v>
      </c>
      <c r="M9" s="10">
        <f t="shared" si="1"/>
        <v>3359482</v>
      </c>
      <c r="N9" s="10">
        <f t="shared" si="1"/>
        <v>277144</v>
      </c>
      <c r="O9" s="10">
        <f t="shared" si="1"/>
        <v>1166</v>
      </c>
      <c r="P9" s="10">
        <f t="shared" si="1"/>
        <v>0</v>
      </c>
      <c r="Q9" s="10">
        <f t="shared" si="1"/>
        <v>0</v>
      </c>
      <c r="R9" s="10">
        <f t="shared" si="1"/>
        <v>0</v>
      </c>
      <c r="S9" s="10">
        <f t="shared" si="1"/>
        <v>0</v>
      </c>
      <c r="T9" s="10">
        <f t="shared" si="1"/>
        <v>157441</v>
      </c>
      <c r="U9" s="10">
        <f t="shared" si="1"/>
        <v>0</v>
      </c>
      <c r="V9" s="10">
        <f t="shared" si="1"/>
        <v>343</v>
      </c>
      <c r="W9" s="10">
        <f t="shared" si="1"/>
        <v>0</v>
      </c>
      <c r="X9" s="10">
        <f t="shared" si="1"/>
        <v>0</v>
      </c>
      <c r="Y9" s="10">
        <f t="shared" si="1"/>
        <v>0</v>
      </c>
      <c r="Z9" s="10">
        <f t="shared" si="1"/>
        <v>0</v>
      </c>
      <c r="AA9" s="10">
        <f t="shared" si="1"/>
        <v>0</v>
      </c>
      <c r="AB9" s="10">
        <f t="shared" si="1"/>
        <v>150000</v>
      </c>
      <c r="AC9" s="10">
        <f t="shared" si="1"/>
        <v>445000</v>
      </c>
      <c r="AD9" s="10">
        <f t="shared" si="1"/>
        <v>17221027</v>
      </c>
      <c r="AE9" s="10">
        <f t="shared" si="1"/>
        <v>0</v>
      </c>
      <c r="AF9" s="10">
        <f t="shared" si="1"/>
        <v>1082323</v>
      </c>
      <c r="AG9" s="10">
        <f t="shared" si="1"/>
        <v>0</v>
      </c>
      <c r="AH9" s="11">
        <f t="shared" si="0"/>
        <v>23943054</v>
      </c>
    </row>
    <row r="10" spans="1:34" x14ac:dyDescent="0.25">
      <c r="A10" s="10" t="s">
        <v>47</v>
      </c>
      <c r="B10" s="10"/>
      <c r="C10" s="10"/>
      <c r="D10" s="10">
        <v>1280901</v>
      </c>
      <c r="E10" s="10">
        <v>72184531</v>
      </c>
      <c r="F10" s="10"/>
      <c r="G10" s="10"/>
      <c r="H10" s="10">
        <v>6658408</v>
      </c>
      <c r="I10" s="10">
        <v>1981337.98</v>
      </c>
      <c r="J10" s="10"/>
      <c r="K10" s="10">
        <v>2247063</v>
      </c>
      <c r="L10" s="10"/>
      <c r="M10" s="10">
        <v>7428830</v>
      </c>
      <c r="N10" s="10">
        <v>54881582</v>
      </c>
      <c r="O10" s="10">
        <v>21018612</v>
      </c>
      <c r="P10" s="10"/>
      <c r="Q10" s="10"/>
      <c r="R10" s="10"/>
      <c r="S10" s="10"/>
      <c r="T10" s="10"/>
      <c r="U10" s="10"/>
      <c r="V10" s="10"/>
      <c r="W10" s="10"/>
      <c r="X10" s="10">
        <v>10910473</v>
      </c>
      <c r="Y10" s="10">
        <v>6852073</v>
      </c>
      <c r="Z10" s="10">
        <v>12638312</v>
      </c>
      <c r="AA10" s="10">
        <v>18814016</v>
      </c>
      <c r="AB10" s="10"/>
      <c r="AC10" s="10">
        <v>16871161</v>
      </c>
      <c r="AD10" s="10"/>
      <c r="AE10" s="10"/>
      <c r="AF10" s="10"/>
      <c r="AG10" s="10">
        <v>5159579</v>
      </c>
      <c r="AH10" s="11">
        <f t="shared" si="0"/>
        <v>238926878.98000002</v>
      </c>
    </row>
    <row r="11" spans="1:34" s="8" customFormat="1" x14ac:dyDescent="0.25">
      <c r="A11" s="11" t="s">
        <v>48</v>
      </c>
      <c r="B11" s="11"/>
      <c r="C11" s="11">
        <v>11024239</v>
      </c>
      <c r="D11" s="11">
        <v>45620836</v>
      </c>
      <c r="E11" s="11">
        <v>73850728</v>
      </c>
      <c r="F11" s="11">
        <v>2004538</v>
      </c>
      <c r="G11" s="11">
        <v>2981008</v>
      </c>
      <c r="H11" s="11">
        <v>16138620</v>
      </c>
      <c r="I11" s="11">
        <v>32138567.25</v>
      </c>
      <c r="J11" s="11"/>
      <c r="K11" s="11">
        <v>2247063</v>
      </c>
      <c r="L11" s="11">
        <v>9981109</v>
      </c>
      <c r="M11" s="11">
        <v>24954253</v>
      </c>
      <c r="N11" s="11">
        <v>71373814</v>
      </c>
      <c r="O11" s="11">
        <v>25539599</v>
      </c>
      <c r="P11" s="11"/>
      <c r="Q11" s="11">
        <v>7481249</v>
      </c>
      <c r="R11" s="11">
        <v>2796224</v>
      </c>
      <c r="S11" s="11">
        <v>3309418</v>
      </c>
      <c r="T11" s="11">
        <v>157441</v>
      </c>
      <c r="U11" s="11"/>
      <c r="V11" s="11">
        <v>962595</v>
      </c>
      <c r="W11" s="11">
        <v>923661</v>
      </c>
      <c r="X11" s="11">
        <v>18785162</v>
      </c>
      <c r="Y11" s="11">
        <v>9402073</v>
      </c>
      <c r="Z11" s="11">
        <v>25964312</v>
      </c>
      <c r="AA11" s="11">
        <v>18815984</v>
      </c>
      <c r="AB11" s="11">
        <v>37002015</v>
      </c>
      <c r="AC11" s="11">
        <v>22172826</v>
      </c>
      <c r="AD11" s="11">
        <v>183226729</v>
      </c>
      <c r="AE11" s="11">
        <v>-9830862</v>
      </c>
      <c r="AF11" s="11">
        <v>1095912</v>
      </c>
      <c r="AG11" s="11">
        <v>6835761</v>
      </c>
      <c r="AH11" s="11">
        <f t="shared" si="0"/>
        <v>646954874.25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2.28515625" style="58" customWidth="1"/>
    <col min="2" max="97" width="14.28515625" style="58" customWidth="1"/>
    <col min="98" max="16384" width="9.140625" style="58"/>
  </cols>
  <sheetData>
    <row r="1" spans="1:97" ht="18.75" x14ac:dyDescent="0.3">
      <c r="A1" s="57" t="s">
        <v>304</v>
      </c>
    </row>
    <row r="2" spans="1:97" x14ac:dyDescent="0.25">
      <c r="A2" s="59" t="s">
        <v>40</v>
      </c>
    </row>
    <row r="3" spans="1:97" x14ac:dyDescent="0.25">
      <c r="A3" s="108" t="s">
        <v>0</v>
      </c>
      <c r="B3" s="104" t="s">
        <v>1</v>
      </c>
      <c r="C3" s="104"/>
      <c r="D3" s="104"/>
      <c r="E3" s="104" t="s">
        <v>290</v>
      </c>
      <c r="F3" s="104"/>
      <c r="G3" s="104"/>
      <c r="H3" s="104" t="s">
        <v>3</v>
      </c>
      <c r="I3" s="104"/>
      <c r="J3" s="104"/>
      <c r="K3" s="104" t="s">
        <v>4</v>
      </c>
      <c r="L3" s="104"/>
      <c r="M3" s="104"/>
      <c r="N3" s="104" t="s">
        <v>5</v>
      </c>
      <c r="O3" s="104"/>
      <c r="P3" s="104"/>
      <c r="Q3" s="104" t="s">
        <v>291</v>
      </c>
      <c r="R3" s="104"/>
      <c r="S3" s="104"/>
      <c r="T3" s="105" t="s">
        <v>292</v>
      </c>
      <c r="U3" s="106"/>
      <c r="V3" s="107"/>
      <c r="W3" s="105" t="s">
        <v>8</v>
      </c>
      <c r="X3" s="106"/>
      <c r="Y3" s="107"/>
      <c r="Z3" s="105" t="s">
        <v>7</v>
      </c>
      <c r="AA3" s="106"/>
      <c r="AB3" s="107"/>
      <c r="AC3" s="105" t="s">
        <v>9</v>
      </c>
      <c r="AD3" s="106"/>
      <c r="AE3" s="107"/>
      <c r="AF3" s="105" t="s">
        <v>288</v>
      </c>
      <c r="AG3" s="106"/>
      <c r="AH3" s="107"/>
      <c r="AI3" s="105" t="s">
        <v>11</v>
      </c>
      <c r="AJ3" s="106"/>
      <c r="AK3" s="107"/>
      <c r="AL3" s="105" t="s">
        <v>12</v>
      </c>
      <c r="AM3" s="106"/>
      <c r="AN3" s="107"/>
      <c r="AO3" s="105" t="s">
        <v>13</v>
      </c>
      <c r="AP3" s="106"/>
      <c r="AQ3" s="107"/>
      <c r="AR3" s="105" t="s">
        <v>14</v>
      </c>
      <c r="AS3" s="106"/>
      <c r="AT3" s="107"/>
      <c r="AU3" s="105" t="s">
        <v>15</v>
      </c>
      <c r="AV3" s="106"/>
      <c r="AW3" s="107"/>
      <c r="AX3" s="105" t="s">
        <v>16</v>
      </c>
      <c r="AY3" s="106"/>
      <c r="AZ3" s="107"/>
      <c r="BA3" s="105" t="s">
        <v>293</v>
      </c>
      <c r="BB3" s="106"/>
      <c r="BC3" s="107"/>
      <c r="BD3" s="105" t="s">
        <v>17</v>
      </c>
      <c r="BE3" s="106"/>
      <c r="BF3" s="107"/>
      <c r="BG3" s="105" t="s">
        <v>294</v>
      </c>
      <c r="BH3" s="106"/>
      <c r="BI3" s="107"/>
      <c r="BJ3" s="105" t="s">
        <v>313</v>
      </c>
      <c r="BK3" s="106"/>
      <c r="BL3" s="107"/>
      <c r="BM3" s="105" t="s">
        <v>289</v>
      </c>
      <c r="BN3" s="106"/>
      <c r="BO3" s="107"/>
      <c r="BP3" s="105" t="s">
        <v>295</v>
      </c>
      <c r="BQ3" s="106"/>
      <c r="BR3" s="107"/>
      <c r="BS3" s="104" t="s">
        <v>20</v>
      </c>
      <c r="BT3" s="104"/>
      <c r="BU3" s="104"/>
      <c r="BV3" s="104" t="s">
        <v>21</v>
      </c>
      <c r="BW3" s="104"/>
      <c r="BX3" s="104"/>
      <c r="BY3" s="104" t="s">
        <v>22</v>
      </c>
      <c r="BZ3" s="104"/>
      <c r="CA3" s="104"/>
      <c r="CB3" s="104" t="s">
        <v>23</v>
      </c>
      <c r="CC3" s="104"/>
      <c r="CD3" s="104"/>
      <c r="CE3" s="104" t="s">
        <v>24</v>
      </c>
      <c r="CF3" s="104"/>
      <c r="CG3" s="104"/>
      <c r="CH3" s="104" t="s">
        <v>296</v>
      </c>
      <c r="CI3" s="104"/>
      <c r="CJ3" s="104"/>
      <c r="CK3" s="104" t="s">
        <v>297</v>
      </c>
      <c r="CL3" s="104"/>
      <c r="CM3" s="104"/>
      <c r="CN3" s="104" t="s">
        <v>25</v>
      </c>
      <c r="CO3" s="104"/>
      <c r="CP3" s="104"/>
      <c r="CQ3" s="104" t="s">
        <v>26</v>
      </c>
      <c r="CR3" s="104"/>
      <c r="CS3" s="104"/>
    </row>
    <row r="4" spans="1:97" x14ac:dyDescent="0.25">
      <c r="A4" s="108"/>
      <c r="B4" s="46" t="s">
        <v>185</v>
      </c>
      <c r="C4" s="46" t="s">
        <v>186</v>
      </c>
      <c r="D4" s="46" t="s">
        <v>157</v>
      </c>
      <c r="E4" s="46" t="s">
        <v>185</v>
      </c>
      <c r="F4" s="46" t="s">
        <v>186</v>
      </c>
      <c r="G4" s="46" t="s">
        <v>157</v>
      </c>
      <c r="H4" s="46" t="s">
        <v>185</v>
      </c>
      <c r="I4" s="46" t="s">
        <v>186</v>
      </c>
      <c r="J4" s="46" t="s">
        <v>157</v>
      </c>
      <c r="K4" s="46" t="s">
        <v>185</v>
      </c>
      <c r="L4" s="46" t="s">
        <v>186</v>
      </c>
      <c r="M4" s="46" t="s">
        <v>157</v>
      </c>
      <c r="N4" s="46" t="s">
        <v>185</v>
      </c>
      <c r="O4" s="46" t="s">
        <v>186</v>
      </c>
      <c r="P4" s="46" t="s">
        <v>157</v>
      </c>
      <c r="Q4" s="46" t="s">
        <v>185</v>
      </c>
      <c r="R4" s="46" t="s">
        <v>186</v>
      </c>
      <c r="S4" s="46" t="s">
        <v>157</v>
      </c>
      <c r="T4" s="46" t="s">
        <v>185</v>
      </c>
      <c r="U4" s="46" t="s">
        <v>186</v>
      </c>
      <c r="V4" s="46" t="s">
        <v>157</v>
      </c>
      <c r="W4" s="46" t="s">
        <v>185</v>
      </c>
      <c r="X4" s="46" t="s">
        <v>186</v>
      </c>
      <c r="Y4" s="46" t="s">
        <v>157</v>
      </c>
      <c r="Z4" s="46" t="s">
        <v>185</v>
      </c>
      <c r="AA4" s="46" t="s">
        <v>186</v>
      </c>
      <c r="AB4" s="46" t="s">
        <v>157</v>
      </c>
      <c r="AC4" s="46" t="s">
        <v>185</v>
      </c>
      <c r="AD4" s="46" t="s">
        <v>186</v>
      </c>
      <c r="AE4" s="46" t="s">
        <v>157</v>
      </c>
      <c r="AF4" s="46" t="s">
        <v>185</v>
      </c>
      <c r="AG4" s="46" t="s">
        <v>186</v>
      </c>
      <c r="AH4" s="46" t="s">
        <v>157</v>
      </c>
      <c r="AI4" s="46" t="s">
        <v>185</v>
      </c>
      <c r="AJ4" s="46" t="s">
        <v>186</v>
      </c>
      <c r="AK4" s="46" t="s">
        <v>157</v>
      </c>
      <c r="AL4" s="46" t="s">
        <v>185</v>
      </c>
      <c r="AM4" s="46" t="s">
        <v>186</v>
      </c>
      <c r="AN4" s="46" t="s">
        <v>157</v>
      </c>
      <c r="AO4" s="46" t="s">
        <v>185</v>
      </c>
      <c r="AP4" s="46" t="s">
        <v>186</v>
      </c>
      <c r="AQ4" s="46" t="s">
        <v>157</v>
      </c>
      <c r="AR4" s="46" t="s">
        <v>185</v>
      </c>
      <c r="AS4" s="46" t="s">
        <v>186</v>
      </c>
      <c r="AT4" s="46" t="s">
        <v>157</v>
      </c>
      <c r="AU4" s="46" t="s">
        <v>185</v>
      </c>
      <c r="AV4" s="46" t="s">
        <v>186</v>
      </c>
      <c r="AW4" s="46" t="s">
        <v>157</v>
      </c>
      <c r="AX4" s="46" t="s">
        <v>185</v>
      </c>
      <c r="AY4" s="46" t="s">
        <v>186</v>
      </c>
      <c r="AZ4" s="46" t="s">
        <v>157</v>
      </c>
      <c r="BA4" s="46" t="s">
        <v>185</v>
      </c>
      <c r="BB4" s="46" t="s">
        <v>186</v>
      </c>
      <c r="BC4" s="46" t="s">
        <v>157</v>
      </c>
      <c r="BD4" s="46" t="s">
        <v>185</v>
      </c>
      <c r="BE4" s="46" t="s">
        <v>186</v>
      </c>
      <c r="BF4" s="46" t="s">
        <v>157</v>
      </c>
      <c r="BG4" s="46" t="s">
        <v>185</v>
      </c>
      <c r="BH4" s="46" t="s">
        <v>186</v>
      </c>
      <c r="BI4" s="46" t="s">
        <v>157</v>
      </c>
      <c r="BJ4" s="46" t="s">
        <v>185</v>
      </c>
      <c r="BK4" s="46" t="s">
        <v>186</v>
      </c>
      <c r="BL4" s="46" t="s">
        <v>157</v>
      </c>
      <c r="BM4" s="46" t="s">
        <v>185</v>
      </c>
      <c r="BN4" s="46" t="s">
        <v>186</v>
      </c>
      <c r="BO4" s="46" t="s">
        <v>157</v>
      </c>
      <c r="BP4" s="46" t="s">
        <v>185</v>
      </c>
      <c r="BQ4" s="46" t="s">
        <v>186</v>
      </c>
      <c r="BR4" s="46" t="s">
        <v>157</v>
      </c>
      <c r="BS4" s="46" t="s">
        <v>185</v>
      </c>
      <c r="BT4" s="46" t="s">
        <v>186</v>
      </c>
      <c r="BU4" s="46" t="s">
        <v>157</v>
      </c>
      <c r="BV4" s="46" t="s">
        <v>185</v>
      </c>
      <c r="BW4" s="46" t="s">
        <v>186</v>
      </c>
      <c r="BX4" s="46" t="s">
        <v>157</v>
      </c>
      <c r="BY4" s="46" t="s">
        <v>185</v>
      </c>
      <c r="BZ4" s="46" t="s">
        <v>186</v>
      </c>
      <c r="CA4" s="46" t="s">
        <v>157</v>
      </c>
      <c r="CB4" s="46" t="s">
        <v>185</v>
      </c>
      <c r="CC4" s="46" t="s">
        <v>186</v>
      </c>
      <c r="CD4" s="46" t="s">
        <v>157</v>
      </c>
      <c r="CE4" s="46" t="s">
        <v>185</v>
      </c>
      <c r="CF4" s="46" t="s">
        <v>186</v>
      </c>
      <c r="CG4" s="46" t="s">
        <v>157</v>
      </c>
      <c r="CH4" s="46" t="s">
        <v>185</v>
      </c>
      <c r="CI4" s="46" t="s">
        <v>186</v>
      </c>
      <c r="CJ4" s="46" t="s">
        <v>157</v>
      </c>
      <c r="CK4" s="46" t="s">
        <v>185</v>
      </c>
      <c r="CL4" s="46" t="s">
        <v>186</v>
      </c>
      <c r="CM4" s="46" t="s">
        <v>157</v>
      </c>
      <c r="CN4" s="46" t="s">
        <v>185</v>
      </c>
      <c r="CO4" s="46" t="s">
        <v>186</v>
      </c>
      <c r="CP4" s="46" t="s">
        <v>157</v>
      </c>
      <c r="CQ4" s="46" t="s">
        <v>185</v>
      </c>
      <c r="CR4" s="46" t="s">
        <v>186</v>
      </c>
      <c r="CS4" s="46" t="s">
        <v>157</v>
      </c>
    </row>
    <row r="5" spans="1:97" x14ac:dyDescent="0.25">
      <c r="A5" s="60" t="s">
        <v>187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</row>
    <row r="6" spans="1:97" ht="30" x14ac:dyDescent="0.25">
      <c r="A6" s="62" t="s">
        <v>188</v>
      </c>
      <c r="B6" s="61">
        <v>723821</v>
      </c>
      <c r="C6" s="61">
        <v>2045158</v>
      </c>
      <c r="D6" s="61">
        <f t="shared" ref="D6:D19" si="0">B6+C6</f>
        <v>2768979</v>
      </c>
      <c r="E6" s="61">
        <v>987623</v>
      </c>
      <c r="F6" s="61">
        <v>3432047</v>
      </c>
      <c r="G6" s="61">
        <f>F6+E6</f>
        <v>4419670</v>
      </c>
      <c r="H6" s="61"/>
      <c r="I6" s="61"/>
      <c r="J6" s="61">
        <v>30160893</v>
      </c>
      <c r="K6" s="61">
        <v>24944919</v>
      </c>
      <c r="L6" s="61">
        <v>98028735</v>
      </c>
      <c r="M6" s="61">
        <f>L6+K6</f>
        <v>122973654</v>
      </c>
      <c r="N6" s="61">
        <v>2677707</v>
      </c>
      <c r="O6" s="61">
        <v>12374047</v>
      </c>
      <c r="P6" s="61">
        <f>O6+N6</f>
        <v>15051754</v>
      </c>
      <c r="Q6" s="61">
        <v>2370236</v>
      </c>
      <c r="R6" s="61">
        <v>4694145</v>
      </c>
      <c r="S6" s="61">
        <f>R6+Q6</f>
        <v>7064381</v>
      </c>
      <c r="T6" s="61">
        <v>8036229</v>
      </c>
      <c r="U6" s="61">
        <v>66410981</v>
      </c>
      <c r="V6" s="61">
        <f>U6+T6</f>
        <v>74447210</v>
      </c>
      <c r="W6" s="61">
        <v>21295964.100000001</v>
      </c>
      <c r="X6" s="61">
        <v>26028400.559999999</v>
      </c>
      <c r="Y6" s="61">
        <f>X6+W6</f>
        <v>47324364.659999996</v>
      </c>
      <c r="Z6" s="61">
        <v>51922</v>
      </c>
      <c r="AA6" s="61">
        <v>717658</v>
      </c>
      <c r="AB6" s="61">
        <f>AA6+Z6</f>
        <v>769580</v>
      </c>
      <c r="AC6" s="61">
        <v>4891785</v>
      </c>
      <c r="AD6" s="61">
        <v>19489021</v>
      </c>
      <c r="AE6" s="61">
        <f>AD6+AC6</f>
        <v>24380806</v>
      </c>
      <c r="AF6" s="61">
        <v>4583579</v>
      </c>
      <c r="AG6" s="61">
        <v>23934226</v>
      </c>
      <c r="AH6" s="61">
        <f>AG6+AF6</f>
        <v>28517805</v>
      </c>
      <c r="AI6" s="61">
        <v>9195878</v>
      </c>
      <c r="AJ6" s="61">
        <v>39217406</v>
      </c>
      <c r="AK6" s="61">
        <f>AJ6+AI6</f>
        <v>48413284</v>
      </c>
      <c r="AL6" s="61">
        <v>30195347</v>
      </c>
      <c r="AM6" s="61">
        <v>97204804</v>
      </c>
      <c r="AN6" s="61">
        <f>AM6+AL6</f>
        <v>127400151</v>
      </c>
      <c r="AO6" s="61">
        <v>9394181</v>
      </c>
      <c r="AP6" s="61">
        <v>38394684</v>
      </c>
      <c r="AQ6" s="61">
        <f>AP6+AO6</f>
        <v>47788865</v>
      </c>
      <c r="AR6" s="61">
        <v>1324807</v>
      </c>
      <c r="AS6" s="61">
        <v>5387460</v>
      </c>
      <c r="AT6" s="61">
        <f>AS6+AR6</f>
        <v>6712267</v>
      </c>
      <c r="AU6" s="61">
        <v>1747483</v>
      </c>
      <c r="AV6" s="61">
        <v>4615385</v>
      </c>
      <c r="AW6" s="61">
        <f>AV6+AU6</f>
        <v>6362868</v>
      </c>
      <c r="AX6" s="61">
        <v>1497048</v>
      </c>
      <c r="AY6" s="61">
        <v>11531480</v>
      </c>
      <c r="AZ6" s="61">
        <f>AY6+AX6</f>
        <v>13028528</v>
      </c>
      <c r="BA6" s="61">
        <v>429225</v>
      </c>
      <c r="BB6" s="61">
        <v>903600</v>
      </c>
      <c r="BC6" s="61">
        <f>BB6+BA6</f>
        <v>1332825</v>
      </c>
      <c r="BD6" s="61">
        <v>10119</v>
      </c>
      <c r="BE6" s="61">
        <v>106468802</v>
      </c>
      <c r="BF6" s="61">
        <f>BE6+BD6</f>
        <v>106478921</v>
      </c>
      <c r="BG6" s="61"/>
      <c r="BH6" s="61">
        <v>1075578</v>
      </c>
      <c r="BI6" s="61">
        <f>BH6+BG6</f>
        <v>1075578</v>
      </c>
      <c r="BJ6" s="61">
        <v>1615716</v>
      </c>
      <c r="BK6" s="61">
        <v>2268483</v>
      </c>
      <c r="BL6" s="61">
        <f>BK6+BJ6</f>
        <v>3884199</v>
      </c>
      <c r="BM6" s="61">
        <v>653952</v>
      </c>
      <c r="BN6" s="61">
        <v>1945217</v>
      </c>
      <c r="BO6" s="61">
        <f>BN6+BM6</f>
        <v>2599169</v>
      </c>
      <c r="BP6" s="61">
        <v>5351650</v>
      </c>
      <c r="BQ6" s="61">
        <v>28635549</v>
      </c>
      <c r="BR6" s="61"/>
      <c r="BS6" s="61">
        <v>5018137</v>
      </c>
      <c r="BT6" s="61">
        <v>24155472</v>
      </c>
      <c r="BU6" s="61">
        <f>BT6+BS6</f>
        <v>29173609</v>
      </c>
      <c r="BV6" s="61">
        <v>7067252</v>
      </c>
      <c r="BW6" s="61">
        <v>14936826</v>
      </c>
      <c r="BX6" s="61">
        <f>BW6+BV6</f>
        <v>22004078</v>
      </c>
      <c r="BY6" s="61">
        <v>7675299</v>
      </c>
      <c r="BZ6" s="61">
        <v>28230154</v>
      </c>
      <c r="CA6" s="61">
        <f t="shared" ref="CA6:CA19" si="1">BZ6+BY6</f>
        <v>35905453</v>
      </c>
      <c r="CB6" s="61">
        <v>12080231</v>
      </c>
      <c r="CC6" s="61">
        <v>19277719</v>
      </c>
      <c r="CD6" s="61">
        <f>CC6+CB6</f>
        <v>31357950</v>
      </c>
      <c r="CE6" s="61">
        <v>12108637</v>
      </c>
      <c r="CF6" s="61">
        <v>49830006</v>
      </c>
      <c r="CG6" s="61">
        <f>CF6+CE6</f>
        <v>61938643</v>
      </c>
      <c r="CH6" s="61">
        <v>94395681</v>
      </c>
      <c r="CI6" s="61">
        <v>204146526</v>
      </c>
      <c r="CJ6" s="61">
        <f>CI6+CH6</f>
        <v>298542207</v>
      </c>
      <c r="CK6" s="61">
        <v>8635263</v>
      </c>
      <c r="CL6" s="61">
        <v>109171872</v>
      </c>
      <c r="CM6" s="61">
        <f>CL6+CK6</f>
        <v>117807135</v>
      </c>
      <c r="CN6" s="61"/>
      <c r="CO6" s="61"/>
      <c r="CP6" s="61">
        <v>158134122</v>
      </c>
      <c r="CQ6" s="61">
        <v>1177466</v>
      </c>
      <c r="CR6" s="61">
        <v>11092071</v>
      </c>
      <c r="CS6" s="61"/>
    </row>
    <row r="7" spans="1:97" ht="15" customHeight="1" x14ac:dyDescent="0.25">
      <c r="A7" s="62" t="s">
        <v>189</v>
      </c>
      <c r="B7" s="61"/>
      <c r="C7" s="61"/>
      <c r="D7" s="61">
        <f t="shared" si="0"/>
        <v>0</v>
      </c>
      <c r="E7" s="61">
        <v>1572220</v>
      </c>
      <c r="F7" s="61">
        <v>3031963</v>
      </c>
      <c r="G7" s="61">
        <f t="shared" ref="G7:G19" si="2">F7+E7</f>
        <v>4604183</v>
      </c>
      <c r="H7" s="61"/>
      <c r="I7" s="61"/>
      <c r="J7" s="61">
        <v>59083464</v>
      </c>
      <c r="K7" s="61">
        <v>81544</v>
      </c>
      <c r="L7" s="61">
        <v>49413</v>
      </c>
      <c r="M7" s="61">
        <f t="shared" ref="M7:M19" si="3">L7+K7</f>
        <v>130957</v>
      </c>
      <c r="N7" s="61">
        <v>796914</v>
      </c>
      <c r="O7" s="61">
        <v>3682645</v>
      </c>
      <c r="P7" s="61">
        <f t="shared" ref="P7:P19" si="4">O7+N7</f>
        <v>4479559</v>
      </c>
      <c r="Q7" s="61">
        <v>218628</v>
      </c>
      <c r="R7" s="61">
        <v>1006330</v>
      </c>
      <c r="S7" s="61">
        <f t="shared" ref="S7:S19" si="5">R7+Q7</f>
        <v>1224958</v>
      </c>
      <c r="T7" s="61"/>
      <c r="U7" s="61"/>
      <c r="V7" s="61">
        <f t="shared" ref="V7:V19" si="6">U7+T7</f>
        <v>0</v>
      </c>
      <c r="W7" s="61">
        <v>2098769.8199999998</v>
      </c>
      <c r="X7" s="61">
        <v>2565163.12</v>
      </c>
      <c r="Y7" s="61">
        <f t="shared" ref="Y7:Y19" si="7">X7+W7</f>
        <v>4663932.9399999995</v>
      </c>
      <c r="Z7" s="61">
        <v>162757</v>
      </c>
      <c r="AA7" s="61">
        <v>165916</v>
      </c>
      <c r="AB7" s="61">
        <f t="shared" ref="AB7:AB19" si="8">AA7+Z7</f>
        <v>328673</v>
      </c>
      <c r="AC7" s="61"/>
      <c r="AD7" s="61"/>
      <c r="AE7" s="61">
        <f t="shared" ref="AE7:AE19" si="9">AD7+AC7</f>
        <v>0</v>
      </c>
      <c r="AF7" s="61"/>
      <c r="AG7" s="61">
        <v>1414616</v>
      </c>
      <c r="AH7" s="61">
        <f t="shared" ref="AH7:AH19" si="10">AG7+AF7</f>
        <v>1414616</v>
      </c>
      <c r="AI7" s="61">
        <v>4105893</v>
      </c>
      <c r="AJ7" s="61">
        <v>17510296</v>
      </c>
      <c r="AK7" s="61">
        <f t="shared" ref="AK7:AK19" si="11">AJ7+AI7</f>
        <v>21616189</v>
      </c>
      <c r="AL7" s="61"/>
      <c r="AM7" s="61"/>
      <c r="AN7" s="61">
        <f t="shared" ref="AN7:AN19" si="12">AM7+AL7</f>
        <v>0</v>
      </c>
      <c r="AO7" s="61">
        <v>394687</v>
      </c>
      <c r="AP7" s="61">
        <v>1613113</v>
      </c>
      <c r="AQ7" s="61">
        <f t="shared" ref="AQ7:AQ19" si="13">AP7+AO7</f>
        <v>2007800</v>
      </c>
      <c r="AR7" s="61"/>
      <c r="AS7" s="61"/>
      <c r="AT7" s="61">
        <f t="shared" ref="AT7:AT19" si="14">AS7+AR7</f>
        <v>0</v>
      </c>
      <c r="AU7" s="61">
        <v>1462641</v>
      </c>
      <c r="AV7" s="61">
        <v>3863071</v>
      </c>
      <c r="AW7" s="61">
        <f t="shared" ref="AW7:AW19" si="15">AV7+AU7</f>
        <v>5325712</v>
      </c>
      <c r="AX7" s="61">
        <v>380108</v>
      </c>
      <c r="AY7" s="61">
        <v>2927904</v>
      </c>
      <c r="AZ7" s="61">
        <f t="shared" ref="AZ7:AZ19" si="16">AY7+AX7</f>
        <v>3308012</v>
      </c>
      <c r="BA7" s="61">
        <v>321543</v>
      </c>
      <c r="BB7" s="61">
        <v>1042587</v>
      </c>
      <c r="BC7" s="61">
        <f t="shared" ref="BC7:BC19" si="17">BB7+BA7</f>
        <v>1364130</v>
      </c>
      <c r="BD7" s="61">
        <v>26</v>
      </c>
      <c r="BE7" s="61">
        <v>278299</v>
      </c>
      <c r="BF7" s="61">
        <f t="shared" ref="BF7:BF19" si="18">BE7+BD7</f>
        <v>278325</v>
      </c>
      <c r="BG7" s="61">
        <v>12758</v>
      </c>
      <c r="BH7" s="61">
        <v>154816</v>
      </c>
      <c r="BI7" s="61">
        <f t="shared" ref="BI7:BI19" si="19">BH7+BG7</f>
        <v>167574</v>
      </c>
      <c r="BJ7" s="61">
        <v>703993</v>
      </c>
      <c r="BK7" s="61">
        <v>559312</v>
      </c>
      <c r="BL7" s="61">
        <f t="shared" ref="BL7:BL19" si="20">BK7+BJ7</f>
        <v>1263305</v>
      </c>
      <c r="BM7" s="61"/>
      <c r="BN7" s="61"/>
      <c r="BO7" s="61">
        <f t="shared" ref="BO7:BO19" si="21">BN7+BM7</f>
        <v>0</v>
      </c>
      <c r="BP7" s="61">
        <v>4382837</v>
      </c>
      <c r="BQ7" s="61">
        <v>23451638</v>
      </c>
      <c r="BR7" s="61"/>
      <c r="BS7" s="61"/>
      <c r="BT7" s="61"/>
      <c r="BU7" s="61">
        <f t="shared" ref="BU7:BU19" si="22">BT7+BS7</f>
        <v>0</v>
      </c>
      <c r="BV7" s="61">
        <v>763081</v>
      </c>
      <c r="BW7" s="61">
        <v>8431944</v>
      </c>
      <c r="BX7" s="61">
        <f t="shared" ref="BX7:BX19" si="23">BW7+BV7</f>
        <v>9195025</v>
      </c>
      <c r="BY7" s="61">
        <v>179100</v>
      </c>
      <c r="BZ7" s="61"/>
      <c r="CA7" s="61">
        <f t="shared" si="1"/>
        <v>179100</v>
      </c>
      <c r="CB7" s="61">
        <v>7706173</v>
      </c>
      <c r="CC7" s="61">
        <v>12297566</v>
      </c>
      <c r="CD7" s="61">
        <f t="shared" ref="CD7:CD19" si="24">CC7+CB7</f>
        <v>20003739</v>
      </c>
      <c r="CE7" s="61"/>
      <c r="CF7" s="61"/>
      <c r="CG7" s="61">
        <f t="shared" ref="CG7:CG19" si="25">CF7+CE7</f>
        <v>0</v>
      </c>
      <c r="CH7" s="61"/>
      <c r="CI7" s="61"/>
      <c r="CJ7" s="61">
        <f t="shared" ref="CJ7:CJ19" si="26">CI7+CH7</f>
        <v>0</v>
      </c>
      <c r="CK7" s="61">
        <v>48327</v>
      </c>
      <c r="CL7" s="61">
        <v>610983</v>
      </c>
      <c r="CM7" s="61">
        <f t="shared" ref="CM7:CM19" si="27">CL7+CK7</f>
        <v>659310</v>
      </c>
      <c r="CN7" s="61"/>
      <c r="CO7" s="61"/>
      <c r="CP7" s="61">
        <f t="shared" ref="CP7:CP19" si="28">CO7+CN7</f>
        <v>0</v>
      </c>
      <c r="CQ7" s="61">
        <v>13131</v>
      </c>
      <c r="CR7" s="61">
        <v>123702</v>
      </c>
      <c r="CS7" s="61">
        <f t="shared" ref="CS7:CS17" si="29">CR7+CQ7</f>
        <v>136833</v>
      </c>
    </row>
    <row r="8" spans="1:97" ht="15" customHeight="1" x14ac:dyDescent="0.25">
      <c r="A8" s="62" t="s">
        <v>190</v>
      </c>
      <c r="B8" s="61"/>
      <c r="C8" s="61"/>
      <c r="D8" s="61">
        <f t="shared" si="0"/>
        <v>0</v>
      </c>
      <c r="E8" s="61"/>
      <c r="F8" s="61"/>
      <c r="G8" s="61">
        <f t="shared" si="2"/>
        <v>0</v>
      </c>
      <c r="H8" s="61"/>
      <c r="I8" s="61"/>
      <c r="J8" s="61">
        <f t="shared" ref="J8:J17" si="30">I8+H8</f>
        <v>0</v>
      </c>
      <c r="K8" s="61"/>
      <c r="L8" s="61"/>
      <c r="M8" s="61">
        <f t="shared" si="3"/>
        <v>0</v>
      </c>
      <c r="N8" s="61"/>
      <c r="O8" s="61"/>
      <c r="P8" s="61">
        <f t="shared" si="4"/>
        <v>0</v>
      </c>
      <c r="Q8" s="61"/>
      <c r="R8" s="61"/>
      <c r="S8" s="61">
        <f t="shared" si="5"/>
        <v>0</v>
      </c>
      <c r="T8" s="61"/>
      <c r="U8" s="61"/>
      <c r="V8" s="61">
        <f t="shared" si="6"/>
        <v>0</v>
      </c>
      <c r="W8" s="61"/>
      <c r="X8" s="61"/>
      <c r="Y8" s="61">
        <f t="shared" si="7"/>
        <v>0</v>
      </c>
      <c r="Z8" s="61"/>
      <c r="AA8" s="61"/>
      <c r="AB8" s="61">
        <f t="shared" si="8"/>
        <v>0</v>
      </c>
      <c r="AC8" s="61"/>
      <c r="AD8" s="61"/>
      <c r="AE8" s="61">
        <f t="shared" si="9"/>
        <v>0</v>
      </c>
      <c r="AF8" s="61"/>
      <c r="AG8" s="61"/>
      <c r="AH8" s="61">
        <f t="shared" si="10"/>
        <v>0</v>
      </c>
      <c r="AI8" s="61"/>
      <c r="AJ8" s="61"/>
      <c r="AK8" s="61">
        <f t="shared" si="11"/>
        <v>0</v>
      </c>
      <c r="AL8" s="61"/>
      <c r="AM8" s="61"/>
      <c r="AN8" s="61">
        <f t="shared" si="12"/>
        <v>0</v>
      </c>
      <c r="AO8" s="61"/>
      <c r="AP8" s="61"/>
      <c r="AQ8" s="61">
        <f t="shared" si="13"/>
        <v>0</v>
      </c>
      <c r="AR8" s="61"/>
      <c r="AS8" s="61"/>
      <c r="AT8" s="61">
        <f t="shared" si="14"/>
        <v>0</v>
      </c>
      <c r="AU8" s="61"/>
      <c r="AV8" s="61"/>
      <c r="AW8" s="61">
        <f t="shared" si="15"/>
        <v>0</v>
      </c>
      <c r="AX8" s="61"/>
      <c r="AY8" s="61"/>
      <c r="AZ8" s="61">
        <f t="shared" si="16"/>
        <v>0</v>
      </c>
      <c r="BA8" s="61"/>
      <c r="BB8" s="61"/>
      <c r="BC8" s="61">
        <f t="shared" si="17"/>
        <v>0</v>
      </c>
      <c r="BD8" s="61"/>
      <c r="BE8" s="61"/>
      <c r="BF8" s="61">
        <f t="shared" si="18"/>
        <v>0</v>
      </c>
      <c r="BG8" s="61"/>
      <c r="BH8" s="61"/>
      <c r="BI8" s="61">
        <f t="shared" si="19"/>
        <v>0</v>
      </c>
      <c r="BJ8" s="61"/>
      <c r="BK8" s="61"/>
      <c r="BL8" s="61">
        <f t="shared" si="20"/>
        <v>0</v>
      </c>
      <c r="BM8" s="61"/>
      <c r="BN8" s="61"/>
      <c r="BO8" s="61">
        <f t="shared" si="21"/>
        <v>0</v>
      </c>
      <c r="BP8" s="61"/>
      <c r="BQ8" s="61"/>
      <c r="BR8" s="61">
        <f t="shared" ref="BR8:BR19" si="31">BQ8+BP8</f>
        <v>0</v>
      </c>
      <c r="BS8" s="61"/>
      <c r="BT8" s="61"/>
      <c r="BU8" s="61">
        <f t="shared" si="22"/>
        <v>0</v>
      </c>
      <c r="BV8" s="61"/>
      <c r="BW8" s="61"/>
      <c r="BX8" s="61">
        <f t="shared" si="23"/>
        <v>0</v>
      </c>
      <c r="BY8" s="61"/>
      <c r="BZ8" s="61"/>
      <c r="CA8" s="61">
        <f t="shared" si="1"/>
        <v>0</v>
      </c>
      <c r="CB8" s="61"/>
      <c r="CC8" s="61"/>
      <c r="CD8" s="61">
        <f t="shared" si="24"/>
        <v>0</v>
      </c>
      <c r="CE8" s="61"/>
      <c r="CF8" s="61"/>
      <c r="CG8" s="61">
        <f t="shared" si="25"/>
        <v>0</v>
      </c>
      <c r="CH8" s="61"/>
      <c r="CI8" s="61"/>
      <c r="CJ8" s="61">
        <f t="shared" si="26"/>
        <v>0</v>
      </c>
      <c r="CK8" s="61"/>
      <c r="CL8" s="61"/>
      <c r="CM8" s="61">
        <f t="shared" si="27"/>
        <v>0</v>
      </c>
      <c r="CN8" s="61"/>
      <c r="CO8" s="61"/>
      <c r="CP8" s="61">
        <f t="shared" si="28"/>
        <v>0</v>
      </c>
      <c r="CQ8" s="61"/>
      <c r="CR8" s="61"/>
      <c r="CS8" s="61">
        <f t="shared" si="29"/>
        <v>0</v>
      </c>
    </row>
    <row r="9" spans="1:97" ht="15" customHeight="1" x14ac:dyDescent="0.25">
      <c r="A9" s="62" t="s">
        <v>191</v>
      </c>
      <c r="B9" s="61"/>
      <c r="C9" s="61"/>
      <c r="D9" s="61">
        <f t="shared" si="0"/>
        <v>0</v>
      </c>
      <c r="E9" s="61"/>
      <c r="F9" s="61"/>
      <c r="G9" s="61">
        <f t="shared" si="2"/>
        <v>0</v>
      </c>
      <c r="H9" s="61"/>
      <c r="I9" s="61"/>
      <c r="J9" s="61">
        <f t="shared" si="30"/>
        <v>0</v>
      </c>
      <c r="K9" s="61"/>
      <c r="L9" s="61"/>
      <c r="M9" s="61">
        <f t="shared" si="3"/>
        <v>0</v>
      </c>
      <c r="N9" s="61"/>
      <c r="O9" s="61"/>
      <c r="P9" s="61">
        <f t="shared" si="4"/>
        <v>0</v>
      </c>
      <c r="Q9" s="61"/>
      <c r="R9" s="61"/>
      <c r="S9" s="61">
        <f t="shared" si="5"/>
        <v>0</v>
      </c>
      <c r="T9" s="61"/>
      <c r="U9" s="61"/>
      <c r="V9" s="61">
        <f t="shared" si="6"/>
        <v>0</v>
      </c>
      <c r="W9" s="61"/>
      <c r="X9" s="61"/>
      <c r="Y9" s="61">
        <f t="shared" si="7"/>
        <v>0</v>
      </c>
      <c r="Z9" s="61"/>
      <c r="AA9" s="61"/>
      <c r="AB9" s="61">
        <f t="shared" si="8"/>
        <v>0</v>
      </c>
      <c r="AC9" s="61"/>
      <c r="AD9" s="61"/>
      <c r="AE9" s="61">
        <f t="shared" si="9"/>
        <v>0</v>
      </c>
      <c r="AF9" s="61"/>
      <c r="AG9" s="61"/>
      <c r="AH9" s="61">
        <f t="shared" si="10"/>
        <v>0</v>
      </c>
      <c r="AI9" s="61"/>
      <c r="AJ9" s="61"/>
      <c r="AK9" s="61">
        <f t="shared" si="11"/>
        <v>0</v>
      </c>
      <c r="AL9" s="61"/>
      <c r="AM9" s="61"/>
      <c r="AN9" s="61">
        <f t="shared" si="12"/>
        <v>0</v>
      </c>
      <c r="AO9" s="61"/>
      <c r="AP9" s="61"/>
      <c r="AQ9" s="61">
        <f t="shared" si="13"/>
        <v>0</v>
      </c>
      <c r="AR9" s="61"/>
      <c r="AS9" s="61"/>
      <c r="AT9" s="61">
        <f t="shared" si="14"/>
        <v>0</v>
      </c>
      <c r="AU9" s="61"/>
      <c r="AV9" s="61"/>
      <c r="AW9" s="61">
        <f t="shared" si="15"/>
        <v>0</v>
      </c>
      <c r="AX9" s="61"/>
      <c r="AY9" s="61"/>
      <c r="AZ9" s="61">
        <f t="shared" si="16"/>
        <v>0</v>
      </c>
      <c r="BA9" s="61"/>
      <c r="BB9" s="61"/>
      <c r="BC9" s="61">
        <f t="shared" si="17"/>
        <v>0</v>
      </c>
      <c r="BD9" s="61"/>
      <c r="BE9" s="61"/>
      <c r="BF9" s="61">
        <f t="shared" si="18"/>
        <v>0</v>
      </c>
      <c r="BG9" s="61"/>
      <c r="BH9" s="61"/>
      <c r="BI9" s="61">
        <f t="shared" si="19"/>
        <v>0</v>
      </c>
      <c r="BJ9" s="61"/>
      <c r="BK9" s="61"/>
      <c r="BL9" s="61">
        <f t="shared" si="20"/>
        <v>0</v>
      </c>
      <c r="BM9" s="61"/>
      <c r="BN9" s="61"/>
      <c r="BO9" s="61">
        <f t="shared" si="21"/>
        <v>0</v>
      </c>
      <c r="BP9" s="61"/>
      <c r="BQ9" s="61"/>
      <c r="BR9" s="61">
        <f t="shared" si="31"/>
        <v>0</v>
      </c>
      <c r="BS9" s="61"/>
      <c r="BT9" s="61"/>
      <c r="BU9" s="61">
        <f t="shared" si="22"/>
        <v>0</v>
      </c>
      <c r="BV9" s="61"/>
      <c r="BW9" s="61"/>
      <c r="BX9" s="61">
        <f t="shared" si="23"/>
        <v>0</v>
      </c>
      <c r="BY9" s="61"/>
      <c r="BZ9" s="61"/>
      <c r="CA9" s="61">
        <f t="shared" si="1"/>
        <v>0</v>
      </c>
      <c r="CB9" s="61"/>
      <c r="CC9" s="61"/>
      <c r="CD9" s="61">
        <f t="shared" si="24"/>
        <v>0</v>
      </c>
      <c r="CE9" s="61"/>
      <c r="CF9" s="61"/>
      <c r="CG9" s="61">
        <f t="shared" si="25"/>
        <v>0</v>
      </c>
      <c r="CH9" s="61"/>
      <c r="CI9" s="61"/>
      <c r="CJ9" s="61">
        <f t="shared" si="26"/>
        <v>0</v>
      </c>
      <c r="CK9" s="61"/>
      <c r="CL9" s="61"/>
      <c r="CM9" s="61">
        <f t="shared" si="27"/>
        <v>0</v>
      </c>
      <c r="CN9" s="61"/>
      <c r="CO9" s="61"/>
      <c r="CP9" s="61">
        <f t="shared" si="28"/>
        <v>0</v>
      </c>
      <c r="CQ9" s="61"/>
      <c r="CR9" s="61"/>
      <c r="CS9" s="61">
        <f t="shared" si="29"/>
        <v>0</v>
      </c>
    </row>
    <row r="10" spans="1:97" ht="15" customHeight="1" x14ac:dyDescent="0.25">
      <c r="A10" s="62" t="s">
        <v>192</v>
      </c>
      <c r="B10" s="61"/>
      <c r="C10" s="61"/>
      <c r="D10" s="61">
        <f t="shared" si="0"/>
        <v>0</v>
      </c>
      <c r="E10" s="61"/>
      <c r="F10" s="61"/>
      <c r="G10" s="61">
        <f t="shared" si="2"/>
        <v>0</v>
      </c>
      <c r="H10" s="61"/>
      <c r="I10" s="61"/>
      <c r="J10" s="61">
        <v>1907180</v>
      </c>
      <c r="K10" s="61">
        <v>5218991</v>
      </c>
      <c r="L10" s="61">
        <v>12221170</v>
      </c>
      <c r="M10" s="61">
        <f t="shared" si="3"/>
        <v>17440161</v>
      </c>
      <c r="N10" s="61">
        <v>123559</v>
      </c>
      <c r="O10" s="61">
        <v>570985</v>
      </c>
      <c r="P10" s="61">
        <f t="shared" si="4"/>
        <v>694544</v>
      </c>
      <c r="Q10" s="61">
        <v>16118</v>
      </c>
      <c r="R10" s="61"/>
      <c r="S10" s="61">
        <f t="shared" si="5"/>
        <v>16118</v>
      </c>
      <c r="T10" s="61">
        <v>127352</v>
      </c>
      <c r="U10" s="61">
        <v>1052432</v>
      </c>
      <c r="V10" s="61">
        <f t="shared" si="6"/>
        <v>1179784</v>
      </c>
      <c r="W10" s="61">
        <v>8013069.5800000001</v>
      </c>
      <c r="X10" s="61">
        <v>9793751.6999999993</v>
      </c>
      <c r="Y10" s="61">
        <f t="shared" si="7"/>
        <v>17806821.280000001</v>
      </c>
      <c r="Z10" s="61"/>
      <c r="AA10" s="61"/>
      <c r="AB10" s="61">
        <f t="shared" si="8"/>
        <v>0</v>
      </c>
      <c r="AC10" s="61">
        <v>246</v>
      </c>
      <c r="AD10" s="61">
        <v>981</v>
      </c>
      <c r="AE10" s="61">
        <f t="shared" si="9"/>
        <v>1227</v>
      </c>
      <c r="AF10" s="61">
        <v>1382506</v>
      </c>
      <c r="AG10" s="61"/>
      <c r="AH10" s="61">
        <f t="shared" si="10"/>
        <v>1382506</v>
      </c>
      <c r="AI10" s="61">
        <v>993108</v>
      </c>
      <c r="AJ10" s="61">
        <v>4235280</v>
      </c>
      <c r="AK10" s="61">
        <f t="shared" si="11"/>
        <v>5228388</v>
      </c>
      <c r="AL10" s="61">
        <v>8619960</v>
      </c>
      <c r="AM10" s="61">
        <v>27749360</v>
      </c>
      <c r="AN10" s="61">
        <f t="shared" si="12"/>
        <v>36369320</v>
      </c>
      <c r="AO10" s="61">
        <v>15219</v>
      </c>
      <c r="AP10" s="61">
        <v>62202</v>
      </c>
      <c r="AQ10" s="61">
        <f t="shared" si="13"/>
        <v>77421</v>
      </c>
      <c r="AR10" s="61"/>
      <c r="AS10" s="61"/>
      <c r="AT10" s="61">
        <f t="shared" si="14"/>
        <v>0</v>
      </c>
      <c r="AU10" s="61"/>
      <c r="AV10" s="61"/>
      <c r="AW10" s="61">
        <f t="shared" si="15"/>
        <v>0</v>
      </c>
      <c r="AX10" s="61"/>
      <c r="AY10" s="61"/>
      <c r="AZ10" s="61">
        <f t="shared" si="16"/>
        <v>0</v>
      </c>
      <c r="BA10" s="61"/>
      <c r="BB10" s="61"/>
      <c r="BC10" s="61">
        <f t="shared" si="17"/>
        <v>0</v>
      </c>
      <c r="BD10" s="61">
        <v>10145</v>
      </c>
      <c r="BE10" s="61">
        <v>106749427</v>
      </c>
      <c r="BF10" s="61">
        <f t="shared" si="18"/>
        <v>106759572</v>
      </c>
      <c r="BG10" s="61"/>
      <c r="BH10" s="61"/>
      <c r="BI10" s="61">
        <f t="shared" si="19"/>
        <v>0</v>
      </c>
      <c r="BJ10" s="61"/>
      <c r="BK10" s="61"/>
      <c r="BL10" s="61">
        <f t="shared" si="20"/>
        <v>0</v>
      </c>
      <c r="BM10" s="61"/>
      <c r="BN10" s="61"/>
      <c r="BO10" s="61">
        <f t="shared" si="21"/>
        <v>0</v>
      </c>
      <c r="BP10" s="61"/>
      <c r="BQ10" s="61"/>
      <c r="BR10" s="61"/>
      <c r="BS10" s="61"/>
      <c r="BT10" s="61"/>
      <c r="BU10" s="61">
        <f t="shared" si="22"/>
        <v>0</v>
      </c>
      <c r="BV10" s="61">
        <v>6852217</v>
      </c>
      <c r="BW10" s="61"/>
      <c r="BX10" s="61">
        <f t="shared" si="23"/>
        <v>6852217</v>
      </c>
      <c r="BY10" s="61">
        <v>1459145</v>
      </c>
      <c r="BZ10" s="61"/>
      <c r="CA10" s="61">
        <f t="shared" si="1"/>
        <v>1459145</v>
      </c>
      <c r="CB10" s="61"/>
      <c r="CC10" s="61"/>
      <c r="CD10" s="61">
        <f t="shared" si="24"/>
        <v>0</v>
      </c>
      <c r="CE10" s="61">
        <v>2957340</v>
      </c>
      <c r="CF10" s="61">
        <v>12170178</v>
      </c>
      <c r="CG10" s="61">
        <f t="shared" si="25"/>
        <v>15127518</v>
      </c>
      <c r="CH10" s="61">
        <v>73032251</v>
      </c>
      <c r="CI10" s="61">
        <v>172037292</v>
      </c>
      <c r="CJ10" s="61">
        <f t="shared" si="26"/>
        <v>245069543</v>
      </c>
      <c r="CK10" s="61">
        <v>5105485</v>
      </c>
      <c r="CL10" s="61">
        <v>64546423</v>
      </c>
      <c r="CM10" s="61">
        <f t="shared" si="27"/>
        <v>69651908</v>
      </c>
      <c r="CN10" s="61"/>
      <c r="CO10" s="61"/>
      <c r="CP10" s="61">
        <v>82095085</v>
      </c>
      <c r="CQ10" s="61"/>
      <c r="CR10" s="61"/>
      <c r="CS10" s="61"/>
    </row>
    <row r="11" spans="1:97" ht="15" customHeight="1" x14ac:dyDescent="0.25">
      <c r="A11" s="62" t="s">
        <v>193</v>
      </c>
      <c r="B11" s="61"/>
      <c r="C11" s="61"/>
      <c r="D11" s="61">
        <f t="shared" si="0"/>
        <v>0</v>
      </c>
      <c r="E11" s="61"/>
      <c r="F11" s="61"/>
      <c r="G11" s="61">
        <f t="shared" si="2"/>
        <v>0</v>
      </c>
      <c r="H11" s="61"/>
      <c r="I11" s="61"/>
      <c r="J11" s="61">
        <f t="shared" si="30"/>
        <v>0</v>
      </c>
      <c r="K11" s="61"/>
      <c r="L11" s="61">
        <v>329881</v>
      </c>
      <c r="M11" s="61">
        <f t="shared" si="3"/>
        <v>329881</v>
      </c>
      <c r="N11" s="61"/>
      <c r="O11" s="61"/>
      <c r="P11" s="61">
        <f t="shared" si="4"/>
        <v>0</v>
      </c>
      <c r="Q11" s="61"/>
      <c r="R11" s="61"/>
      <c r="S11" s="61">
        <f t="shared" si="5"/>
        <v>0</v>
      </c>
      <c r="T11" s="61"/>
      <c r="U11" s="61"/>
      <c r="V11" s="61">
        <f t="shared" si="6"/>
        <v>0</v>
      </c>
      <c r="W11" s="61"/>
      <c r="X11" s="61"/>
      <c r="Y11" s="61">
        <f t="shared" si="7"/>
        <v>0</v>
      </c>
      <c r="Z11" s="61"/>
      <c r="AA11" s="61"/>
      <c r="AB11" s="61">
        <f t="shared" si="8"/>
        <v>0</v>
      </c>
      <c r="AC11" s="61"/>
      <c r="AD11" s="61"/>
      <c r="AE11" s="61">
        <f t="shared" si="9"/>
        <v>0</v>
      </c>
      <c r="AF11" s="61"/>
      <c r="AG11" s="61"/>
      <c r="AH11" s="61">
        <f t="shared" si="10"/>
        <v>0</v>
      </c>
      <c r="AI11" s="61"/>
      <c r="AJ11" s="61"/>
      <c r="AK11" s="61">
        <f t="shared" si="11"/>
        <v>0</v>
      </c>
      <c r="AL11" s="61">
        <v>78214</v>
      </c>
      <c r="AM11" s="61">
        <v>251786</v>
      </c>
      <c r="AN11" s="61">
        <f t="shared" si="12"/>
        <v>330000</v>
      </c>
      <c r="AO11" s="61"/>
      <c r="AP11" s="61"/>
      <c r="AQ11" s="61">
        <f t="shared" si="13"/>
        <v>0</v>
      </c>
      <c r="AR11" s="61"/>
      <c r="AS11" s="61"/>
      <c r="AT11" s="61">
        <f t="shared" si="14"/>
        <v>0</v>
      </c>
      <c r="AU11" s="61"/>
      <c r="AV11" s="61"/>
      <c r="AW11" s="61">
        <f t="shared" si="15"/>
        <v>0</v>
      </c>
      <c r="AX11" s="61"/>
      <c r="AY11" s="61"/>
      <c r="AZ11" s="61">
        <f t="shared" si="16"/>
        <v>0</v>
      </c>
      <c r="BA11" s="61"/>
      <c r="BB11" s="61"/>
      <c r="BC11" s="61">
        <f t="shared" si="17"/>
        <v>0</v>
      </c>
      <c r="BD11" s="61">
        <v>0</v>
      </c>
      <c r="BE11" s="61">
        <v>2803</v>
      </c>
      <c r="BF11" s="61">
        <f t="shared" si="18"/>
        <v>2803</v>
      </c>
      <c r="BG11" s="61"/>
      <c r="BH11" s="61"/>
      <c r="BI11" s="61">
        <f t="shared" si="19"/>
        <v>0</v>
      </c>
      <c r="BJ11" s="61"/>
      <c r="BK11" s="61"/>
      <c r="BL11" s="61">
        <f t="shared" si="20"/>
        <v>0</v>
      </c>
      <c r="BM11" s="61"/>
      <c r="BN11" s="61"/>
      <c r="BO11" s="61">
        <f t="shared" si="21"/>
        <v>0</v>
      </c>
      <c r="BP11" s="61"/>
      <c r="BQ11" s="61"/>
      <c r="BR11" s="61"/>
      <c r="BS11" s="61"/>
      <c r="BT11" s="61"/>
      <c r="BU11" s="61">
        <f t="shared" si="22"/>
        <v>0</v>
      </c>
      <c r="BV11" s="61"/>
      <c r="BW11" s="61"/>
      <c r="BX11" s="61">
        <f t="shared" si="23"/>
        <v>0</v>
      </c>
      <c r="BY11" s="61"/>
      <c r="BZ11" s="61"/>
      <c r="CA11" s="61">
        <f t="shared" si="1"/>
        <v>0</v>
      </c>
      <c r="CB11" s="61"/>
      <c r="CC11" s="61"/>
      <c r="CD11" s="61">
        <f t="shared" si="24"/>
        <v>0</v>
      </c>
      <c r="CE11" s="61"/>
      <c r="CF11" s="61"/>
      <c r="CG11" s="61">
        <f t="shared" si="25"/>
        <v>0</v>
      </c>
      <c r="CH11" s="61"/>
      <c r="CI11" s="61"/>
      <c r="CJ11" s="61">
        <f t="shared" si="26"/>
        <v>0</v>
      </c>
      <c r="CK11" s="61">
        <v>931</v>
      </c>
      <c r="CL11" s="61">
        <v>11765</v>
      </c>
      <c r="CM11" s="61">
        <f t="shared" si="27"/>
        <v>12696</v>
      </c>
      <c r="CN11" s="61"/>
      <c r="CO11" s="61"/>
      <c r="CP11" s="61">
        <f t="shared" si="28"/>
        <v>0</v>
      </c>
      <c r="CQ11" s="61"/>
      <c r="CR11" s="61"/>
      <c r="CS11" s="61">
        <f t="shared" si="29"/>
        <v>0</v>
      </c>
    </row>
    <row r="12" spans="1:97" ht="15" customHeight="1" x14ac:dyDescent="0.25">
      <c r="A12" s="62" t="s">
        <v>194</v>
      </c>
      <c r="B12" s="61"/>
      <c r="C12" s="61"/>
      <c r="D12" s="61">
        <f t="shared" si="0"/>
        <v>0</v>
      </c>
      <c r="E12" s="61"/>
      <c r="F12" s="61"/>
      <c r="G12" s="61">
        <f t="shared" si="2"/>
        <v>0</v>
      </c>
      <c r="H12" s="61"/>
      <c r="I12" s="61"/>
      <c r="J12" s="61">
        <f t="shared" si="30"/>
        <v>0</v>
      </c>
      <c r="K12" s="61"/>
      <c r="L12" s="61"/>
      <c r="M12" s="61">
        <f t="shared" si="3"/>
        <v>0</v>
      </c>
      <c r="N12" s="61"/>
      <c r="O12" s="61"/>
      <c r="P12" s="61">
        <f t="shared" si="4"/>
        <v>0</v>
      </c>
      <c r="Q12" s="61"/>
      <c r="R12" s="61"/>
      <c r="S12" s="61">
        <f t="shared" si="5"/>
        <v>0</v>
      </c>
      <c r="T12" s="61"/>
      <c r="U12" s="61"/>
      <c r="V12" s="61">
        <f t="shared" si="6"/>
        <v>0</v>
      </c>
      <c r="W12" s="61"/>
      <c r="X12" s="61"/>
      <c r="Y12" s="61">
        <f t="shared" si="7"/>
        <v>0</v>
      </c>
      <c r="Z12" s="61"/>
      <c r="AA12" s="61"/>
      <c r="AB12" s="61">
        <f t="shared" si="8"/>
        <v>0</v>
      </c>
      <c r="AC12" s="61"/>
      <c r="AD12" s="61"/>
      <c r="AE12" s="61">
        <f t="shared" si="9"/>
        <v>0</v>
      </c>
      <c r="AF12" s="61"/>
      <c r="AG12" s="61"/>
      <c r="AH12" s="61">
        <f t="shared" si="10"/>
        <v>0</v>
      </c>
      <c r="AI12" s="61">
        <v>19593</v>
      </c>
      <c r="AJ12" s="61">
        <v>83558</v>
      </c>
      <c r="AK12" s="61">
        <f t="shared" si="11"/>
        <v>103151</v>
      </c>
      <c r="AL12" s="61"/>
      <c r="AM12" s="61"/>
      <c r="AN12" s="61">
        <f t="shared" si="12"/>
        <v>0</v>
      </c>
      <c r="AO12" s="61"/>
      <c r="AP12" s="61"/>
      <c r="AQ12" s="61">
        <f t="shared" si="13"/>
        <v>0</v>
      </c>
      <c r="AR12" s="61"/>
      <c r="AS12" s="61"/>
      <c r="AT12" s="61">
        <f t="shared" si="14"/>
        <v>0</v>
      </c>
      <c r="AU12" s="61"/>
      <c r="AV12" s="61"/>
      <c r="AW12" s="61">
        <f t="shared" si="15"/>
        <v>0</v>
      </c>
      <c r="AX12" s="61"/>
      <c r="AY12" s="61"/>
      <c r="AZ12" s="61">
        <f t="shared" si="16"/>
        <v>0</v>
      </c>
      <c r="BA12" s="61"/>
      <c r="BB12" s="61"/>
      <c r="BC12" s="61">
        <f t="shared" si="17"/>
        <v>0</v>
      </c>
      <c r="BD12" s="61">
        <v>46</v>
      </c>
      <c r="BE12" s="61">
        <v>487335</v>
      </c>
      <c r="BF12" s="61">
        <f t="shared" si="18"/>
        <v>487381</v>
      </c>
      <c r="BG12" s="61"/>
      <c r="BH12" s="61"/>
      <c r="BI12" s="61">
        <f t="shared" si="19"/>
        <v>0</v>
      </c>
      <c r="BJ12" s="61"/>
      <c r="BK12" s="61"/>
      <c r="BL12" s="61">
        <f t="shared" si="20"/>
        <v>0</v>
      </c>
      <c r="BM12" s="61"/>
      <c r="BN12" s="61"/>
      <c r="BO12" s="61">
        <f t="shared" si="21"/>
        <v>0</v>
      </c>
      <c r="BP12" s="61"/>
      <c r="BQ12" s="61"/>
      <c r="BR12" s="61"/>
      <c r="BS12" s="61"/>
      <c r="BT12" s="61"/>
      <c r="BU12" s="61">
        <f t="shared" si="22"/>
        <v>0</v>
      </c>
      <c r="BV12" s="61"/>
      <c r="BW12" s="61"/>
      <c r="BX12" s="61">
        <f t="shared" si="23"/>
        <v>0</v>
      </c>
      <c r="BY12" s="61"/>
      <c r="BZ12" s="61"/>
      <c r="CA12" s="61">
        <f t="shared" si="1"/>
        <v>0</v>
      </c>
      <c r="CB12" s="61">
        <v>307673</v>
      </c>
      <c r="CC12" s="61">
        <v>490987</v>
      </c>
      <c r="CD12" s="61">
        <f t="shared" si="24"/>
        <v>798660</v>
      </c>
      <c r="CE12" s="61"/>
      <c r="CF12" s="61"/>
      <c r="CG12" s="61">
        <f t="shared" si="25"/>
        <v>0</v>
      </c>
      <c r="CH12" s="61">
        <v>322989</v>
      </c>
      <c r="CI12" s="61">
        <v>761488</v>
      </c>
      <c r="CJ12" s="61">
        <f t="shared" si="26"/>
        <v>1084477</v>
      </c>
      <c r="CK12" s="61">
        <v>54316</v>
      </c>
      <c r="CL12" s="61">
        <v>686699</v>
      </c>
      <c r="CM12" s="61">
        <f t="shared" si="27"/>
        <v>741015</v>
      </c>
      <c r="CN12" s="61"/>
      <c r="CO12" s="61"/>
      <c r="CP12" s="61">
        <f t="shared" si="28"/>
        <v>0</v>
      </c>
      <c r="CQ12" s="61"/>
      <c r="CR12" s="61"/>
      <c r="CS12" s="61">
        <f t="shared" si="29"/>
        <v>0</v>
      </c>
    </row>
    <row r="13" spans="1:97" ht="15" customHeight="1" x14ac:dyDescent="0.25">
      <c r="A13" s="62" t="s">
        <v>195</v>
      </c>
      <c r="B13" s="61">
        <v>130907</v>
      </c>
      <c r="C13" s="61">
        <v>369880</v>
      </c>
      <c r="D13" s="61">
        <f t="shared" si="0"/>
        <v>500787</v>
      </c>
      <c r="E13" s="61"/>
      <c r="F13" s="61">
        <v>1073890</v>
      </c>
      <c r="G13" s="61">
        <f t="shared" si="2"/>
        <v>1073890</v>
      </c>
      <c r="H13" s="61"/>
      <c r="I13" s="61"/>
      <c r="J13" s="61">
        <v>17218713</v>
      </c>
      <c r="K13" s="61">
        <v>1248535</v>
      </c>
      <c r="L13" s="61">
        <v>28229142</v>
      </c>
      <c r="M13" s="61">
        <f t="shared" si="3"/>
        <v>29477677</v>
      </c>
      <c r="N13" s="61">
        <v>859193</v>
      </c>
      <c r="O13" s="61">
        <v>3970445</v>
      </c>
      <c r="P13" s="61">
        <f t="shared" si="4"/>
        <v>4829638</v>
      </c>
      <c r="Q13" s="61">
        <v>1809353</v>
      </c>
      <c r="R13" s="61">
        <v>2497043</v>
      </c>
      <c r="S13" s="61">
        <f t="shared" si="5"/>
        <v>4306396</v>
      </c>
      <c r="T13" s="61">
        <v>1159931</v>
      </c>
      <c r="U13" s="61">
        <v>9585614</v>
      </c>
      <c r="V13" s="61">
        <f t="shared" si="6"/>
        <v>10745545</v>
      </c>
      <c r="W13" s="61">
        <v>6732536.7999999998</v>
      </c>
      <c r="X13" s="61">
        <v>8228656.0800000001</v>
      </c>
      <c r="Y13" s="61">
        <f t="shared" si="7"/>
        <v>14961192.879999999</v>
      </c>
      <c r="Z13" s="61">
        <v>104444</v>
      </c>
      <c r="AA13" s="61">
        <v>104169</v>
      </c>
      <c r="AB13" s="61">
        <f t="shared" si="8"/>
        <v>208613</v>
      </c>
      <c r="AC13" s="61">
        <v>1469999</v>
      </c>
      <c r="AD13" s="61">
        <v>5856521</v>
      </c>
      <c r="AE13" s="61">
        <f t="shared" si="9"/>
        <v>7326520</v>
      </c>
      <c r="AF13" s="61">
        <v>249844</v>
      </c>
      <c r="AG13" s="61">
        <v>2774742</v>
      </c>
      <c r="AH13" s="61">
        <f t="shared" si="10"/>
        <v>3024586</v>
      </c>
      <c r="AI13" s="61">
        <v>4732905</v>
      </c>
      <c r="AJ13" s="61">
        <v>20184293</v>
      </c>
      <c r="AK13" s="61">
        <f t="shared" si="11"/>
        <v>24917198</v>
      </c>
      <c r="AL13" s="61">
        <v>8349356</v>
      </c>
      <c r="AM13" s="61">
        <v>26878231</v>
      </c>
      <c r="AN13" s="61">
        <f t="shared" si="12"/>
        <v>35227587</v>
      </c>
      <c r="AO13" s="61">
        <v>2441704</v>
      </c>
      <c r="AP13" s="61">
        <v>9979417</v>
      </c>
      <c r="AQ13" s="61">
        <f t="shared" si="13"/>
        <v>12421121</v>
      </c>
      <c r="AR13" s="61">
        <v>59460</v>
      </c>
      <c r="AS13" s="61">
        <v>241800</v>
      </c>
      <c r="AT13" s="61">
        <f t="shared" si="14"/>
        <v>301260</v>
      </c>
      <c r="AU13" s="61">
        <v>2292501</v>
      </c>
      <c r="AV13" s="61">
        <v>6054867</v>
      </c>
      <c r="AW13" s="61">
        <f t="shared" si="15"/>
        <v>8347368</v>
      </c>
      <c r="AX13" s="61">
        <v>457032</v>
      </c>
      <c r="AY13" s="61">
        <v>3520430</v>
      </c>
      <c r="AZ13" s="61">
        <f t="shared" si="16"/>
        <v>3977462</v>
      </c>
      <c r="BA13" s="61">
        <v>205710</v>
      </c>
      <c r="BB13" s="61">
        <v>1306083</v>
      </c>
      <c r="BC13" s="61">
        <f t="shared" si="17"/>
        <v>1511793</v>
      </c>
      <c r="BD13" s="61">
        <v>2749</v>
      </c>
      <c r="BE13" s="61">
        <v>28929685</v>
      </c>
      <c r="BF13" s="61">
        <f t="shared" si="18"/>
        <v>28932434</v>
      </c>
      <c r="BG13" s="61">
        <v>1269501</v>
      </c>
      <c r="BH13" s="61">
        <v>362678</v>
      </c>
      <c r="BI13" s="61">
        <f t="shared" si="19"/>
        <v>1632179</v>
      </c>
      <c r="BJ13" s="61">
        <v>645594</v>
      </c>
      <c r="BK13" s="61">
        <v>3415222</v>
      </c>
      <c r="BL13" s="61">
        <f t="shared" si="20"/>
        <v>4060816</v>
      </c>
      <c r="BM13" s="61">
        <v>427177</v>
      </c>
      <c r="BN13" s="61">
        <v>1270661</v>
      </c>
      <c r="BO13" s="61">
        <f t="shared" si="21"/>
        <v>1697838</v>
      </c>
      <c r="BP13" s="61">
        <v>5004440</v>
      </c>
      <c r="BQ13" s="61">
        <v>26777706</v>
      </c>
      <c r="BR13" s="61"/>
      <c r="BS13" s="61">
        <v>1928937</v>
      </c>
      <c r="BT13" s="61">
        <v>9285194</v>
      </c>
      <c r="BU13" s="61">
        <f t="shared" si="22"/>
        <v>11214131</v>
      </c>
      <c r="BV13" s="61">
        <v>1652115</v>
      </c>
      <c r="BW13" s="61">
        <v>10879279</v>
      </c>
      <c r="BX13" s="61">
        <f t="shared" si="23"/>
        <v>12531394</v>
      </c>
      <c r="BY13" s="61">
        <v>279392</v>
      </c>
      <c r="BZ13" s="61">
        <v>3173982</v>
      </c>
      <c r="CA13" s="61">
        <f t="shared" si="1"/>
        <v>3453374</v>
      </c>
      <c r="CB13" s="61"/>
      <c r="CC13" s="61"/>
      <c r="CD13" s="61">
        <f t="shared" si="24"/>
        <v>0</v>
      </c>
      <c r="CE13" s="61">
        <v>6361281</v>
      </c>
      <c r="CF13" s="61">
        <v>26178228</v>
      </c>
      <c r="CG13" s="61">
        <f t="shared" si="25"/>
        <v>32539509</v>
      </c>
      <c r="CH13" s="61">
        <v>5388955</v>
      </c>
      <c r="CI13" s="61">
        <v>12426463</v>
      </c>
      <c r="CJ13" s="61">
        <f t="shared" si="26"/>
        <v>17815418</v>
      </c>
      <c r="CK13" s="61">
        <v>587522</v>
      </c>
      <c r="CL13" s="61">
        <v>7427788</v>
      </c>
      <c r="CM13" s="61">
        <f t="shared" si="27"/>
        <v>8015310</v>
      </c>
      <c r="CN13" s="61"/>
      <c r="CO13" s="61"/>
      <c r="CP13" s="61">
        <v>16859240</v>
      </c>
      <c r="CQ13" s="61">
        <v>527136</v>
      </c>
      <c r="CR13" s="61">
        <v>4965774</v>
      </c>
      <c r="CS13" s="61"/>
    </row>
    <row r="14" spans="1:97" ht="15" customHeight="1" x14ac:dyDescent="0.25">
      <c r="A14" s="62" t="s">
        <v>196</v>
      </c>
      <c r="B14" s="61">
        <v>5202</v>
      </c>
      <c r="C14" s="61">
        <v>14698</v>
      </c>
      <c r="D14" s="61">
        <f t="shared" si="0"/>
        <v>19900</v>
      </c>
      <c r="E14" s="61"/>
      <c r="F14" s="61"/>
      <c r="G14" s="61">
        <f t="shared" si="2"/>
        <v>0</v>
      </c>
      <c r="H14" s="61"/>
      <c r="I14" s="61"/>
      <c r="J14" s="61">
        <f t="shared" si="30"/>
        <v>0</v>
      </c>
      <c r="K14" s="61"/>
      <c r="L14" s="61">
        <v>255093</v>
      </c>
      <c r="M14" s="61">
        <f t="shared" si="3"/>
        <v>255093</v>
      </c>
      <c r="N14" s="61"/>
      <c r="O14" s="61"/>
      <c r="P14" s="61">
        <f t="shared" si="4"/>
        <v>0</v>
      </c>
      <c r="Q14" s="61"/>
      <c r="R14" s="61"/>
      <c r="S14" s="61">
        <f t="shared" si="5"/>
        <v>0</v>
      </c>
      <c r="T14" s="61">
        <f>11310+22517</f>
        <v>33827</v>
      </c>
      <c r="U14" s="61">
        <f>93463+186083</f>
        <v>279546</v>
      </c>
      <c r="V14" s="61">
        <f t="shared" si="6"/>
        <v>313373</v>
      </c>
      <c r="W14" s="61"/>
      <c r="X14" s="61"/>
      <c r="Y14" s="61">
        <f t="shared" si="7"/>
        <v>0</v>
      </c>
      <c r="Z14" s="61"/>
      <c r="AA14" s="61"/>
      <c r="AB14" s="61">
        <f t="shared" si="8"/>
        <v>0</v>
      </c>
      <c r="AC14" s="61"/>
      <c r="AD14" s="61"/>
      <c r="AE14" s="61">
        <f t="shared" si="9"/>
        <v>0</v>
      </c>
      <c r="AF14" s="61"/>
      <c r="AG14" s="61"/>
      <c r="AH14" s="61">
        <f t="shared" si="10"/>
        <v>0</v>
      </c>
      <c r="AI14" s="61">
        <v>33069</v>
      </c>
      <c r="AJ14" s="61">
        <v>141031</v>
      </c>
      <c r="AK14" s="61">
        <f t="shared" si="11"/>
        <v>174100</v>
      </c>
      <c r="AL14" s="61">
        <v>3078377</v>
      </c>
      <c r="AM14" s="61">
        <v>9177538</v>
      </c>
      <c r="AN14" s="61">
        <f t="shared" si="12"/>
        <v>12255915</v>
      </c>
      <c r="AO14" s="61"/>
      <c r="AP14" s="61"/>
      <c r="AQ14" s="61">
        <f t="shared" si="13"/>
        <v>0</v>
      </c>
      <c r="AR14" s="61"/>
      <c r="AS14" s="61"/>
      <c r="AT14" s="61">
        <f>AS14+AR14</f>
        <v>0</v>
      </c>
      <c r="AU14" s="61"/>
      <c r="AV14" s="61"/>
      <c r="AW14" s="61">
        <f t="shared" si="15"/>
        <v>0</v>
      </c>
      <c r="AX14" s="61">
        <v>91924</v>
      </c>
      <c r="AY14" s="61">
        <v>708076</v>
      </c>
      <c r="AZ14" s="61">
        <f t="shared" si="16"/>
        <v>800000</v>
      </c>
      <c r="BA14" s="61"/>
      <c r="BB14" s="61"/>
      <c r="BC14" s="61">
        <f t="shared" si="17"/>
        <v>0</v>
      </c>
      <c r="BD14" s="61">
        <v>3</v>
      </c>
      <c r="BE14" s="61">
        <v>35934</v>
      </c>
      <c r="BF14" s="61">
        <f t="shared" si="18"/>
        <v>35937</v>
      </c>
      <c r="BG14" s="61"/>
      <c r="BH14" s="61"/>
      <c r="BI14" s="61">
        <f t="shared" si="19"/>
        <v>0</v>
      </c>
      <c r="BJ14" s="61"/>
      <c r="BK14" s="61">
        <v>119400</v>
      </c>
      <c r="BL14" s="61">
        <f t="shared" si="20"/>
        <v>119400</v>
      </c>
      <c r="BM14" s="61">
        <v>10505</v>
      </c>
      <c r="BN14" s="61">
        <v>2295</v>
      </c>
      <c r="BO14" s="61">
        <f t="shared" si="21"/>
        <v>12800</v>
      </c>
      <c r="BP14" s="61"/>
      <c r="BQ14" s="61"/>
      <c r="BR14" s="61"/>
      <c r="BS14" s="61">
        <v>12261</v>
      </c>
      <c r="BT14" s="61">
        <v>59021</v>
      </c>
      <c r="BU14" s="61">
        <f t="shared" si="22"/>
        <v>71282</v>
      </c>
      <c r="BV14" s="61">
        <f>19900+234802</f>
        <v>254702</v>
      </c>
      <c r="BW14" s="61"/>
      <c r="BX14" s="61">
        <f t="shared" si="23"/>
        <v>254702</v>
      </c>
      <c r="BY14" s="61"/>
      <c r="BZ14" s="61"/>
      <c r="CA14" s="61">
        <f t="shared" si="1"/>
        <v>0</v>
      </c>
      <c r="CB14" s="61"/>
      <c r="CC14" s="61"/>
      <c r="CD14" s="61">
        <f t="shared" si="24"/>
        <v>0</v>
      </c>
      <c r="CE14" s="61"/>
      <c r="CF14" s="61"/>
      <c r="CG14" s="61">
        <f t="shared" si="25"/>
        <v>0</v>
      </c>
      <c r="CH14" s="61"/>
      <c r="CI14" s="61"/>
      <c r="CJ14" s="61">
        <f t="shared" si="26"/>
        <v>0</v>
      </c>
      <c r="CK14" s="61">
        <v>23731</v>
      </c>
      <c r="CL14" s="61">
        <v>300014</v>
      </c>
      <c r="CM14" s="61">
        <f t="shared" si="27"/>
        <v>323745</v>
      </c>
      <c r="CN14" s="61"/>
      <c r="CO14" s="61"/>
      <c r="CP14" s="61">
        <f t="shared" si="28"/>
        <v>0</v>
      </c>
      <c r="CQ14" s="61">
        <v>4682</v>
      </c>
      <c r="CR14" s="61">
        <v>44110</v>
      </c>
      <c r="CS14" s="61">
        <f t="shared" si="29"/>
        <v>48792</v>
      </c>
    </row>
    <row r="15" spans="1:97" ht="15" customHeight="1" x14ac:dyDescent="0.25">
      <c r="A15" s="62" t="s">
        <v>197</v>
      </c>
      <c r="B15" s="61"/>
      <c r="C15" s="61"/>
      <c r="D15" s="61">
        <f t="shared" si="0"/>
        <v>0</v>
      </c>
      <c r="E15" s="61"/>
      <c r="F15" s="61"/>
      <c r="G15" s="61">
        <f t="shared" si="2"/>
        <v>0</v>
      </c>
      <c r="H15" s="61"/>
      <c r="I15" s="61"/>
      <c r="J15" s="61">
        <f t="shared" si="30"/>
        <v>0</v>
      </c>
      <c r="K15" s="61"/>
      <c r="L15" s="61"/>
      <c r="M15" s="61">
        <f t="shared" si="3"/>
        <v>0</v>
      </c>
      <c r="N15" s="61"/>
      <c r="O15" s="61"/>
      <c r="P15" s="61">
        <f t="shared" si="4"/>
        <v>0</v>
      </c>
      <c r="Q15" s="61"/>
      <c r="R15" s="61"/>
      <c r="S15" s="61">
        <f t="shared" si="5"/>
        <v>0</v>
      </c>
      <c r="T15" s="61"/>
      <c r="U15" s="61"/>
      <c r="V15" s="61">
        <f t="shared" si="6"/>
        <v>0</v>
      </c>
      <c r="W15" s="61"/>
      <c r="X15" s="61"/>
      <c r="Y15" s="61">
        <f t="shared" si="7"/>
        <v>0</v>
      </c>
      <c r="Z15" s="61"/>
      <c r="AA15" s="61"/>
      <c r="AB15" s="61">
        <f t="shared" si="8"/>
        <v>0</v>
      </c>
      <c r="AC15" s="61"/>
      <c r="AD15" s="61"/>
      <c r="AE15" s="61">
        <f t="shared" si="9"/>
        <v>0</v>
      </c>
      <c r="AF15" s="61"/>
      <c r="AG15" s="61"/>
      <c r="AH15" s="61">
        <f t="shared" si="10"/>
        <v>0</v>
      </c>
      <c r="AI15" s="61"/>
      <c r="AJ15" s="61"/>
      <c r="AK15" s="61">
        <f t="shared" si="11"/>
        <v>0</v>
      </c>
      <c r="AL15" s="61"/>
      <c r="AM15" s="61"/>
      <c r="AN15" s="61">
        <f t="shared" si="12"/>
        <v>0</v>
      </c>
      <c r="AO15" s="61">
        <v>572690</v>
      </c>
      <c r="AP15" s="61">
        <v>2340625</v>
      </c>
      <c r="AQ15" s="61">
        <f t="shared" si="13"/>
        <v>2913315</v>
      </c>
      <c r="AR15" s="61"/>
      <c r="AS15" s="61"/>
      <c r="AT15" s="61">
        <f t="shared" si="14"/>
        <v>0</v>
      </c>
      <c r="AU15" s="61"/>
      <c r="AV15" s="61"/>
      <c r="AW15" s="61">
        <f t="shared" si="15"/>
        <v>0</v>
      </c>
      <c r="AX15" s="61"/>
      <c r="AY15" s="61"/>
      <c r="AZ15" s="61">
        <f t="shared" si="16"/>
        <v>0</v>
      </c>
      <c r="BA15" s="61"/>
      <c r="BB15" s="61"/>
      <c r="BC15" s="61">
        <f t="shared" si="17"/>
        <v>0</v>
      </c>
      <c r="BD15" s="61"/>
      <c r="BE15" s="61"/>
      <c r="BF15" s="61">
        <f t="shared" si="18"/>
        <v>0</v>
      </c>
      <c r="BG15" s="61"/>
      <c r="BH15" s="61"/>
      <c r="BI15" s="61">
        <f t="shared" si="19"/>
        <v>0</v>
      </c>
      <c r="BJ15" s="61"/>
      <c r="BK15" s="61"/>
      <c r="BL15" s="61">
        <f t="shared" si="20"/>
        <v>0</v>
      </c>
      <c r="BM15" s="61"/>
      <c r="BN15" s="61"/>
      <c r="BO15" s="61">
        <f t="shared" si="21"/>
        <v>0</v>
      </c>
      <c r="BP15" s="61"/>
      <c r="BQ15" s="61"/>
      <c r="BR15" s="61">
        <f t="shared" si="31"/>
        <v>0</v>
      </c>
      <c r="BS15" s="61"/>
      <c r="BT15" s="61"/>
      <c r="BU15" s="61">
        <f t="shared" si="22"/>
        <v>0</v>
      </c>
      <c r="BV15" s="61"/>
      <c r="BW15" s="61"/>
      <c r="BX15" s="61">
        <f t="shared" si="23"/>
        <v>0</v>
      </c>
      <c r="BY15" s="61"/>
      <c r="BZ15" s="61"/>
      <c r="CA15" s="61">
        <f t="shared" si="1"/>
        <v>0</v>
      </c>
      <c r="CB15" s="61"/>
      <c r="CC15" s="61"/>
      <c r="CD15" s="61">
        <f t="shared" si="24"/>
        <v>0</v>
      </c>
      <c r="CE15" s="61"/>
      <c r="CF15" s="61"/>
      <c r="CG15" s="61">
        <f t="shared" si="25"/>
        <v>0</v>
      </c>
      <c r="CH15" s="61"/>
      <c r="CI15" s="61"/>
      <c r="CJ15" s="61">
        <f t="shared" si="26"/>
        <v>0</v>
      </c>
      <c r="CK15" s="61"/>
      <c r="CL15" s="61"/>
      <c r="CM15" s="61">
        <f t="shared" si="27"/>
        <v>0</v>
      </c>
      <c r="CN15" s="61"/>
      <c r="CO15" s="61"/>
      <c r="CP15" s="61">
        <f t="shared" si="28"/>
        <v>0</v>
      </c>
      <c r="CQ15" s="61"/>
      <c r="CR15" s="61"/>
      <c r="CS15" s="61">
        <f t="shared" si="29"/>
        <v>0</v>
      </c>
    </row>
    <row r="16" spans="1:97" ht="15" customHeight="1" x14ac:dyDescent="0.25">
      <c r="A16" s="62" t="s">
        <v>198</v>
      </c>
      <c r="B16" s="61"/>
      <c r="C16" s="61"/>
      <c r="D16" s="61">
        <f t="shared" si="0"/>
        <v>0</v>
      </c>
      <c r="E16" s="61"/>
      <c r="F16" s="61"/>
      <c r="G16" s="61">
        <f t="shared" si="2"/>
        <v>0</v>
      </c>
      <c r="H16" s="61"/>
      <c r="I16" s="61"/>
      <c r="J16" s="61">
        <f t="shared" si="30"/>
        <v>0</v>
      </c>
      <c r="K16" s="61"/>
      <c r="L16" s="61"/>
      <c r="M16" s="61">
        <f t="shared" si="3"/>
        <v>0</v>
      </c>
      <c r="N16" s="61"/>
      <c r="O16" s="61"/>
      <c r="P16" s="61">
        <f t="shared" si="4"/>
        <v>0</v>
      </c>
      <c r="Q16" s="61"/>
      <c r="R16" s="61"/>
      <c r="S16" s="61">
        <f t="shared" si="5"/>
        <v>0</v>
      </c>
      <c r="T16" s="61"/>
      <c r="U16" s="61"/>
      <c r="V16" s="61">
        <f t="shared" si="6"/>
        <v>0</v>
      </c>
      <c r="W16" s="61"/>
      <c r="X16" s="61"/>
      <c r="Y16" s="61">
        <f t="shared" si="7"/>
        <v>0</v>
      </c>
      <c r="Z16" s="61"/>
      <c r="AA16" s="61"/>
      <c r="AB16" s="61">
        <f t="shared" si="8"/>
        <v>0</v>
      </c>
      <c r="AC16" s="61"/>
      <c r="AD16" s="61"/>
      <c r="AE16" s="61">
        <f t="shared" si="9"/>
        <v>0</v>
      </c>
      <c r="AF16" s="61"/>
      <c r="AG16" s="61"/>
      <c r="AH16" s="61">
        <f t="shared" si="10"/>
        <v>0</v>
      </c>
      <c r="AI16" s="61"/>
      <c r="AJ16" s="61"/>
      <c r="AK16" s="61">
        <f t="shared" si="11"/>
        <v>0</v>
      </c>
      <c r="AL16" s="61"/>
      <c r="AM16" s="61"/>
      <c r="AN16" s="61">
        <f t="shared" si="12"/>
        <v>0</v>
      </c>
      <c r="AO16" s="61">
        <v>983</v>
      </c>
      <c r="AP16" s="61">
        <v>4017</v>
      </c>
      <c r="AQ16" s="61">
        <f t="shared" si="13"/>
        <v>5000</v>
      </c>
      <c r="AR16" s="61"/>
      <c r="AS16" s="61"/>
      <c r="AT16" s="61">
        <f t="shared" si="14"/>
        <v>0</v>
      </c>
      <c r="AU16" s="61"/>
      <c r="AV16" s="61"/>
      <c r="AW16" s="61">
        <f t="shared" si="15"/>
        <v>0</v>
      </c>
      <c r="AX16" s="61"/>
      <c r="AY16" s="61"/>
      <c r="AZ16" s="61">
        <f t="shared" si="16"/>
        <v>0</v>
      </c>
      <c r="BA16" s="61"/>
      <c r="BB16" s="61"/>
      <c r="BC16" s="61">
        <f t="shared" si="17"/>
        <v>0</v>
      </c>
      <c r="BD16" s="61"/>
      <c r="BE16" s="61"/>
      <c r="BF16" s="61">
        <f t="shared" si="18"/>
        <v>0</v>
      </c>
      <c r="BG16" s="61"/>
      <c r="BH16" s="61"/>
      <c r="BI16" s="61">
        <f t="shared" si="19"/>
        <v>0</v>
      </c>
      <c r="BJ16" s="61"/>
      <c r="BK16" s="61"/>
      <c r="BL16" s="61">
        <f t="shared" si="20"/>
        <v>0</v>
      </c>
      <c r="BM16" s="61"/>
      <c r="BN16" s="61"/>
      <c r="BO16" s="61">
        <f t="shared" si="21"/>
        <v>0</v>
      </c>
      <c r="BP16" s="61"/>
      <c r="BQ16" s="61"/>
      <c r="BR16" s="61"/>
      <c r="BS16" s="61"/>
      <c r="BT16" s="61"/>
      <c r="BU16" s="61">
        <f t="shared" si="22"/>
        <v>0</v>
      </c>
      <c r="BV16" s="61"/>
      <c r="BW16" s="61"/>
      <c r="BX16" s="61">
        <f t="shared" si="23"/>
        <v>0</v>
      </c>
      <c r="BY16" s="61">
        <v>1613910</v>
      </c>
      <c r="BZ16" s="61"/>
      <c r="CA16" s="61">
        <f t="shared" si="1"/>
        <v>1613910</v>
      </c>
      <c r="CB16" s="61"/>
      <c r="CC16" s="61"/>
      <c r="CD16" s="61">
        <f t="shared" si="24"/>
        <v>0</v>
      </c>
      <c r="CE16" s="61"/>
      <c r="CF16" s="61"/>
      <c r="CG16" s="61">
        <f t="shared" si="25"/>
        <v>0</v>
      </c>
      <c r="CH16" s="61">
        <v>1026636</v>
      </c>
      <c r="CI16" s="61"/>
      <c r="CJ16" s="61">
        <f t="shared" si="26"/>
        <v>1026636</v>
      </c>
      <c r="CK16" s="61">
        <v>37</v>
      </c>
      <c r="CL16" s="61">
        <v>463</v>
      </c>
      <c r="CM16" s="61">
        <f t="shared" si="27"/>
        <v>500</v>
      </c>
      <c r="CN16" s="61"/>
      <c r="CO16" s="61"/>
      <c r="CP16" s="61">
        <f t="shared" si="28"/>
        <v>0</v>
      </c>
      <c r="CQ16" s="61"/>
      <c r="CR16" s="61"/>
      <c r="CS16" s="61">
        <f t="shared" si="29"/>
        <v>0</v>
      </c>
    </row>
    <row r="17" spans="1:97" ht="15" customHeight="1" x14ac:dyDescent="0.25">
      <c r="A17" s="62" t="s">
        <v>199</v>
      </c>
      <c r="B17" s="61"/>
      <c r="C17" s="61"/>
      <c r="D17" s="61">
        <f t="shared" si="0"/>
        <v>0</v>
      </c>
      <c r="E17" s="61"/>
      <c r="F17" s="61"/>
      <c r="G17" s="61">
        <f t="shared" si="2"/>
        <v>0</v>
      </c>
      <c r="H17" s="61"/>
      <c r="I17" s="61"/>
      <c r="J17" s="61">
        <f t="shared" si="30"/>
        <v>0</v>
      </c>
      <c r="K17" s="61"/>
      <c r="L17" s="61"/>
      <c r="M17" s="61">
        <f t="shared" si="3"/>
        <v>0</v>
      </c>
      <c r="N17" s="61">
        <v>131005</v>
      </c>
      <c r="O17" s="61">
        <v>605393</v>
      </c>
      <c r="P17" s="61">
        <f t="shared" si="4"/>
        <v>736398</v>
      </c>
      <c r="Q17" s="61"/>
      <c r="R17" s="61"/>
      <c r="S17" s="61">
        <f t="shared" si="5"/>
        <v>0</v>
      </c>
      <c r="T17" s="61">
        <f>31115+2196</f>
        <v>33311</v>
      </c>
      <c r="U17" s="61">
        <f>257136+18149</f>
        <v>275285</v>
      </c>
      <c r="V17" s="61">
        <f t="shared" si="6"/>
        <v>308596</v>
      </c>
      <c r="W17" s="61"/>
      <c r="X17" s="61"/>
      <c r="Y17" s="61">
        <f t="shared" si="7"/>
        <v>0</v>
      </c>
      <c r="Z17" s="61"/>
      <c r="AA17" s="61"/>
      <c r="AB17" s="61">
        <f t="shared" si="8"/>
        <v>0</v>
      </c>
      <c r="AC17" s="61"/>
      <c r="AD17" s="61"/>
      <c r="AE17" s="61">
        <f t="shared" si="9"/>
        <v>0</v>
      </c>
      <c r="AF17" s="61"/>
      <c r="AG17" s="61"/>
      <c r="AH17" s="61">
        <f t="shared" si="10"/>
        <v>0</v>
      </c>
      <c r="AI17" s="61"/>
      <c r="AJ17" s="61"/>
      <c r="AK17" s="61">
        <f t="shared" si="11"/>
        <v>0</v>
      </c>
      <c r="AL17" s="61">
        <v>635807</v>
      </c>
      <c r="AM17" s="61">
        <v>2046790</v>
      </c>
      <c r="AN17" s="61">
        <f t="shared" si="12"/>
        <v>2682597</v>
      </c>
      <c r="AO17" s="61"/>
      <c r="AP17" s="61"/>
      <c r="AQ17" s="61">
        <f t="shared" si="13"/>
        <v>0</v>
      </c>
      <c r="AR17" s="61"/>
      <c r="AS17" s="61"/>
      <c r="AT17" s="61">
        <f t="shared" si="14"/>
        <v>0</v>
      </c>
      <c r="AU17" s="61"/>
      <c r="AV17" s="61"/>
      <c r="AW17" s="61">
        <f t="shared" si="15"/>
        <v>0</v>
      </c>
      <c r="AX17" s="61"/>
      <c r="AY17" s="61"/>
      <c r="AZ17" s="61">
        <f t="shared" si="16"/>
        <v>0</v>
      </c>
      <c r="BA17" s="61"/>
      <c r="BB17" s="61"/>
      <c r="BC17" s="61">
        <f t="shared" si="17"/>
        <v>0</v>
      </c>
      <c r="BD17" s="61"/>
      <c r="BE17" s="61">
        <v>2310</v>
      </c>
      <c r="BF17" s="61">
        <f t="shared" si="18"/>
        <v>2310</v>
      </c>
      <c r="BG17" s="61"/>
      <c r="BH17" s="61"/>
      <c r="BI17" s="61">
        <f t="shared" si="19"/>
        <v>0</v>
      </c>
      <c r="BJ17" s="61"/>
      <c r="BK17" s="61"/>
      <c r="BL17" s="61">
        <f t="shared" si="20"/>
        <v>0</v>
      </c>
      <c r="BM17" s="61"/>
      <c r="BN17" s="61"/>
      <c r="BO17" s="61">
        <f t="shared" si="21"/>
        <v>0</v>
      </c>
      <c r="BP17" s="61"/>
      <c r="BQ17" s="61"/>
      <c r="BR17" s="61">
        <f t="shared" si="31"/>
        <v>0</v>
      </c>
      <c r="BS17" s="61"/>
      <c r="BT17" s="61"/>
      <c r="BU17" s="61">
        <f t="shared" si="22"/>
        <v>0</v>
      </c>
      <c r="BV17" s="61"/>
      <c r="BW17" s="61"/>
      <c r="BX17" s="61">
        <f t="shared" si="23"/>
        <v>0</v>
      </c>
      <c r="BY17" s="61"/>
      <c r="BZ17" s="61"/>
      <c r="CA17" s="61">
        <f t="shared" si="1"/>
        <v>0</v>
      </c>
      <c r="CB17" s="61">
        <v>436692</v>
      </c>
      <c r="CC17" s="61">
        <v>696876</v>
      </c>
      <c r="CD17" s="61">
        <f t="shared" si="24"/>
        <v>1133568</v>
      </c>
      <c r="CE17" s="61">
        <v>828059</v>
      </c>
      <c r="CF17" s="61">
        <v>3407668</v>
      </c>
      <c r="CG17" s="61">
        <f t="shared" si="25"/>
        <v>4235727</v>
      </c>
      <c r="CH17" s="61"/>
      <c r="CI17" s="61"/>
      <c r="CJ17" s="61">
        <f t="shared" si="26"/>
        <v>0</v>
      </c>
      <c r="CK17" s="61"/>
      <c r="CL17" s="61"/>
      <c r="CM17" s="61">
        <f t="shared" si="27"/>
        <v>0</v>
      </c>
      <c r="CN17" s="61"/>
      <c r="CO17" s="61"/>
      <c r="CP17" s="61">
        <f t="shared" si="28"/>
        <v>0</v>
      </c>
      <c r="CQ17" s="61"/>
      <c r="CR17" s="61"/>
      <c r="CS17" s="61">
        <f t="shared" si="29"/>
        <v>0</v>
      </c>
    </row>
    <row r="18" spans="1:97" ht="15" customHeight="1" x14ac:dyDescent="0.25">
      <c r="A18" s="62" t="s">
        <v>200</v>
      </c>
      <c r="B18" s="61">
        <v>447607</v>
      </c>
      <c r="C18" s="61">
        <v>1264716</v>
      </c>
      <c r="D18" s="61">
        <f t="shared" si="0"/>
        <v>1712323</v>
      </c>
      <c r="E18" s="61">
        <v>258684</v>
      </c>
      <c r="F18" s="61">
        <f>102104+454826</f>
        <v>556930</v>
      </c>
      <c r="G18" s="61">
        <f t="shared" si="2"/>
        <v>815614</v>
      </c>
      <c r="H18" s="61"/>
      <c r="I18" s="61"/>
      <c r="J18" s="61">
        <v>8250043</v>
      </c>
      <c r="K18" s="61">
        <v>9616612</v>
      </c>
      <c r="L18" s="61">
        <v>31469748</v>
      </c>
      <c r="M18" s="61">
        <f t="shared" si="3"/>
        <v>41086360</v>
      </c>
      <c r="N18" s="61">
        <v>2944099</v>
      </c>
      <c r="O18" s="61">
        <v>13605080</v>
      </c>
      <c r="P18" s="61">
        <f t="shared" si="4"/>
        <v>16549179</v>
      </c>
      <c r="Q18" s="61">
        <v>3773237</v>
      </c>
      <c r="R18" s="61">
        <v>6275031</v>
      </c>
      <c r="S18" s="61">
        <f t="shared" si="5"/>
        <v>10048268</v>
      </c>
      <c r="T18" s="61">
        <v>621728</v>
      </c>
      <c r="U18" s="61">
        <v>5137930</v>
      </c>
      <c r="V18" s="61">
        <f t="shared" si="6"/>
        <v>5759658</v>
      </c>
      <c r="W18" s="61">
        <v>14361996.68</v>
      </c>
      <c r="X18" s="61">
        <v>17553551.5</v>
      </c>
      <c r="Y18" s="61">
        <f t="shared" si="7"/>
        <v>31915548.18</v>
      </c>
      <c r="Z18" s="61">
        <v>52437</v>
      </c>
      <c r="AA18" s="61">
        <v>613160</v>
      </c>
      <c r="AB18" s="61">
        <f t="shared" si="8"/>
        <v>665597</v>
      </c>
      <c r="AC18" s="61">
        <v>3694023</v>
      </c>
      <c r="AD18" s="61">
        <v>14717100</v>
      </c>
      <c r="AE18" s="61">
        <f t="shared" si="9"/>
        <v>18411123</v>
      </c>
      <c r="AF18" s="61">
        <v>2009209</v>
      </c>
      <c r="AG18" s="61">
        <v>4884297</v>
      </c>
      <c r="AH18" s="61">
        <f t="shared" si="10"/>
        <v>6893506</v>
      </c>
      <c r="AI18" s="61">
        <v>8589815</v>
      </c>
      <c r="AJ18" s="61">
        <v>36632751</v>
      </c>
      <c r="AK18" s="61">
        <f t="shared" si="11"/>
        <v>45222566</v>
      </c>
      <c r="AL18" s="61">
        <v>15446885</v>
      </c>
      <c r="AM18" s="61">
        <v>49726584</v>
      </c>
      <c r="AN18" s="61">
        <f t="shared" si="12"/>
        <v>65173469</v>
      </c>
      <c r="AO18" s="61">
        <v>6767132</v>
      </c>
      <c r="AP18" s="61">
        <v>27657748</v>
      </c>
      <c r="AQ18" s="61">
        <f t="shared" si="13"/>
        <v>34424880</v>
      </c>
      <c r="AR18" s="61">
        <v>277796</v>
      </c>
      <c r="AS18" s="61">
        <v>1129682</v>
      </c>
      <c r="AT18" s="61">
        <f>AS18+AR18</f>
        <v>1407478</v>
      </c>
      <c r="AU18" s="61">
        <v>1376088</v>
      </c>
      <c r="AV18" s="61">
        <v>3634470</v>
      </c>
      <c r="AW18" s="61">
        <f t="shared" si="15"/>
        <v>5010558</v>
      </c>
      <c r="AX18" s="61">
        <v>699275</v>
      </c>
      <c r="AY18" s="61">
        <v>5386383</v>
      </c>
      <c r="AZ18" s="61">
        <f t="shared" si="16"/>
        <v>6085658</v>
      </c>
      <c r="BA18" s="61">
        <v>423281</v>
      </c>
      <c r="BB18" s="61">
        <v>1179975</v>
      </c>
      <c r="BC18" s="61">
        <f t="shared" si="17"/>
        <v>1603256</v>
      </c>
      <c r="BD18" s="61">
        <v>2245</v>
      </c>
      <c r="BE18" s="61">
        <v>23626865</v>
      </c>
      <c r="BF18" s="61">
        <f t="shared" si="18"/>
        <v>23629110</v>
      </c>
      <c r="BG18" s="61">
        <v>352571</v>
      </c>
      <c r="BH18" s="61">
        <v>686493</v>
      </c>
      <c r="BI18" s="61">
        <f t="shared" si="19"/>
        <v>1039064</v>
      </c>
      <c r="BJ18" s="61">
        <v>1696144</v>
      </c>
      <c r="BK18" s="61">
        <v>2391787</v>
      </c>
      <c r="BL18" s="61">
        <f t="shared" si="20"/>
        <v>4087931</v>
      </c>
      <c r="BM18" s="61">
        <v>224811</v>
      </c>
      <c r="BN18" s="61">
        <v>668713</v>
      </c>
      <c r="BO18" s="61">
        <f t="shared" si="21"/>
        <v>893524</v>
      </c>
      <c r="BP18" s="61">
        <v>1356270</v>
      </c>
      <c r="BQ18" s="61">
        <v>7257110</v>
      </c>
      <c r="BR18" s="61"/>
      <c r="BS18" s="61">
        <v>2033036</v>
      </c>
      <c r="BT18" s="61">
        <v>9786296</v>
      </c>
      <c r="BU18" s="61">
        <f t="shared" si="22"/>
        <v>11819332</v>
      </c>
      <c r="BV18" s="61">
        <v>6474942</v>
      </c>
      <c r="BW18" s="61">
        <v>25213319</v>
      </c>
      <c r="BX18" s="61">
        <f t="shared" si="23"/>
        <v>31688261</v>
      </c>
      <c r="BY18" s="61">
        <v>6663362</v>
      </c>
      <c r="BZ18" s="61">
        <v>54857390</v>
      </c>
      <c r="CA18" s="61">
        <f t="shared" si="1"/>
        <v>61520752</v>
      </c>
      <c r="CB18" s="61">
        <v>8948614</v>
      </c>
      <c r="CC18" s="61">
        <v>14280263</v>
      </c>
      <c r="CD18" s="61">
        <f t="shared" si="24"/>
        <v>23228877</v>
      </c>
      <c r="CE18" s="61">
        <v>7100720</v>
      </c>
      <c r="CF18" s="61">
        <v>29221200</v>
      </c>
      <c r="CG18" s="61">
        <f t="shared" si="25"/>
        <v>36321920</v>
      </c>
      <c r="CH18" s="61">
        <v>21866180</v>
      </c>
      <c r="CI18" s="61">
        <v>51552285</v>
      </c>
      <c r="CJ18" s="61">
        <f t="shared" si="26"/>
        <v>73418465</v>
      </c>
      <c r="CK18" s="61">
        <v>2616735</v>
      </c>
      <c r="CL18" s="61">
        <v>33082249</v>
      </c>
      <c r="CM18" s="61">
        <f t="shared" si="27"/>
        <v>35698984</v>
      </c>
      <c r="CN18" s="61"/>
      <c r="CO18" s="61"/>
      <c r="CP18" s="61">
        <v>51124589</v>
      </c>
      <c r="CQ18" s="61">
        <v>631946</v>
      </c>
      <c r="CR18" s="61">
        <v>5953114</v>
      </c>
      <c r="CS18" s="38"/>
    </row>
    <row r="19" spans="1:97" ht="15" customHeight="1" x14ac:dyDescent="0.25">
      <c r="A19" s="62" t="s">
        <v>201</v>
      </c>
      <c r="B19" s="61"/>
      <c r="C19" s="61"/>
      <c r="D19" s="61">
        <f t="shared" si="0"/>
        <v>0</v>
      </c>
      <c r="E19" s="61"/>
      <c r="F19" s="61">
        <v>49992</v>
      </c>
      <c r="G19" s="61">
        <f t="shared" si="2"/>
        <v>49992</v>
      </c>
      <c r="H19" s="61"/>
      <c r="I19" s="61"/>
      <c r="J19" s="61">
        <v>168645</v>
      </c>
      <c r="K19" s="61"/>
      <c r="L19" s="61"/>
      <c r="M19" s="61">
        <f t="shared" si="3"/>
        <v>0</v>
      </c>
      <c r="N19" s="61"/>
      <c r="O19" s="61"/>
      <c r="P19" s="61">
        <f t="shared" si="4"/>
        <v>0</v>
      </c>
      <c r="Q19" s="61">
        <v>60320</v>
      </c>
      <c r="R19" s="61"/>
      <c r="S19" s="61">
        <f t="shared" si="5"/>
        <v>60320</v>
      </c>
      <c r="T19" s="61">
        <f>87992+5085</f>
        <v>93077</v>
      </c>
      <c r="U19" s="61">
        <f>727155+42018</f>
        <v>769173</v>
      </c>
      <c r="V19" s="61">
        <f t="shared" si="6"/>
        <v>862250</v>
      </c>
      <c r="W19" s="61">
        <v>857637.52</v>
      </c>
      <c r="X19" s="61">
        <v>1048223.63</v>
      </c>
      <c r="Y19" s="61">
        <f t="shared" si="7"/>
        <v>1905861.15</v>
      </c>
      <c r="Z19" s="61">
        <v>50992</v>
      </c>
      <c r="AA19" s="61"/>
      <c r="AB19" s="61">
        <f t="shared" si="8"/>
        <v>50992</v>
      </c>
      <c r="AC19" s="61">
        <f>-27359+90670</f>
        <v>63311</v>
      </c>
      <c r="AD19" s="61">
        <f>-109001+361230</f>
        <v>252229</v>
      </c>
      <c r="AE19" s="61">
        <f t="shared" si="9"/>
        <v>315540</v>
      </c>
      <c r="AF19" s="61">
        <v>400880</v>
      </c>
      <c r="AG19" s="61"/>
      <c r="AH19" s="61">
        <f t="shared" si="10"/>
        <v>400880</v>
      </c>
      <c r="AI19" s="61"/>
      <c r="AJ19" s="61"/>
      <c r="AK19" s="61">
        <f t="shared" si="11"/>
        <v>0</v>
      </c>
      <c r="AL19" s="61"/>
      <c r="AM19" s="61"/>
      <c r="AN19" s="61">
        <f t="shared" si="12"/>
        <v>0</v>
      </c>
      <c r="AO19" s="61">
        <v>4954</v>
      </c>
      <c r="AP19" s="61">
        <v>20248</v>
      </c>
      <c r="AQ19" s="61">
        <f t="shared" si="13"/>
        <v>25202</v>
      </c>
      <c r="AR19" s="61">
        <v>14512</v>
      </c>
      <c r="AS19" s="61">
        <v>59016</v>
      </c>
      <c r="AT19" s="61">
        <f t="shared" si="14"/>
        <v>73528</v>
      </c>
      <c r="AU19" s="61"/>
      <c r="AV19" s="61"/>
      <c r="AW19" s="61">
        <f t="shared" si="15"/>
        <v>0</v>
      </c>
      <c r="AX19" s="61">
        <v>142081</v>
      </c>
      <c r="AY19" s="61">
        <v>1094425</v>
      </c>
      <c r="AZ19" s="61">
        <f t="shared" si="16"/>
        <v>1236506</v>
      </c>
      <c r="BA19" s="61"/>
      <c r="BB19" s="61"/>
      <c r="BC19" s="61">
        <f t="shared" si="17"/>
        <v>0</v>
      </c>
      <c r="BD19" s="61"/>
      <c r="BE19" s="61"/>
      <c r="BF19" s="61">
        <f t="shared" si="18"/>
        <v>0</v>
      </c>
      <c r="BG19" s="61">
        <v>17491</v>
      </c>
      <c r="BH19" s="61">
        <v>15167</v>
      </c>
      <c r="BI19" s="61">
        <f t="shared" si="19"/>
        <v>32658</v>
      </c>
      <c r="BJ19" s="61"/>
      <c r="BK19" s="61"/>
      <c r="BL19" s="61">
        <f t="shared" si="20"/>
        <v>0</v>
      </c>
      <c r="BM19" s="61"/>
      <c r="BN19" s="61"/>
      <c r="BO19" s="61">
        <f t="shared" si="21"/>
        <v>0</v>
      </c>
      <c r="BP19" s="61">
        <f>236982-39802</f>
        <v>197180</v>
      </c>
      <c r="BQ19" s="61">
        <f>1268035-212967</f>
        <v>1055068</v>
      </c>
      <c r="BR19" s="61">
        <f t="shared" si="31"/>
        <v>1252248</v>
      </c>
      <c r="BS19" s="61">
        <v>248289</v>
      </c>
      <c r="BT19" s="61">
        <v>1195174</v>
      </c>
      <c r="BU19" s="61">
        <f t="shared" si="22"/>
        <v>1443463</v>
      </c>
      <c r="BV19" s="61"/>
      <c r="BW19" s="61"/>
      <c r="BX19" s="61">
        <f t="shared" si="23"/>
        <v>0</v>
      </c>
      <c r="BY19" s="61"/>
      <c r="BZ19" s="61"/>
      <c r="CA19" s="61">
        <f t="shared" si="1"/>
        <v>0</v>
      </c>
      <c r="CB19" s="61">
        <v>940729</v>
      </c>
      <c r="CC19" s="61">
        <v>1501223</v>
      </c>
      <c r="CD19" s="61">
        <f t="shared" si="24"/>
        <v>2441952</v>
      </c>
      <c r="CE19" s="61">
        <f>547758+247989</f>
        <v>795747</v>
      </c>
      <c r="CF19" s="61">
        <f>2254156+1020533</f>
        <v>3274689</v>
      </c>
      <c r="CG19" s="61">
        <f t="shared" si="25"/>
        <v>4070436</v>
      </c>
      <c r="CH19" s="61">
        <v>10204026</v>
      </c>
      <c r="CI19" s="61">
        <v>23445113</v>
      </c>
      <c r="CJ19" s="61">
        <f t="shared" si="26"/>
        <v>33649139</v>
      </c>
      <c r="CK19" s="61"/>
      <c r="CL19" s="61"/>
      <c r="CM19" s="61">
        <f t="shared" si="27"/>
        <v>0</v>
      </c>
      <c r="CN19" s="61"/>
      <c r="CO19" s="61"/>
      <c r="CP19" s="61">
        <v>21869165</v>
      </c>
      <c r="CQ19" s="61">
        <v>1919</v>
      </c>
      <c r="CR19" s="61">
        <v>18081</v>
      </c>
      <c r="CS19" s="61"/>
    </row>
    <row r="20" spans="1:97" s="64" customFormat="1" ht="15" customHeight="1" x14ac:dyDescent="0.25">
      <c r="A20" s="60" t="s">
        <v>202</v>
      </c>
      <c r="B20" s="63">
        <f>SUM(B6:B19)</f>
        <v>1307537</v>
      </c>
      <c r="C20" s="63">
        <f t="shared" ref="C20:BN20" si="32">SUM(C6:C19)</f>
        <v>3694452</v>
      </c>
      <c r="D20" s="63">
        <f t="shared" si="32"/>
        <v>5001989</v>
      </c>
      <c r="E20" s="63">
        <f t="shared" si="32"/>
        <v>2818527</v>
      </c>
      <c r="F20" s="63">
        <f t="shared" si="32"/>
        <v>8144822</v>
      </c>
      <c r="G20" s="63">
        <f t="shared" si="32"/>
        <v>10963349</v>
      </c>
      <c r="H20" s="63">
        <f t="shared" si="32"/>
        <v>0</v>
      </c>
      <c r="I20" s="63">
        <f t="shared" si="32"/>
        <v>0</v>
      </c>
      <c r="J20" s="63">
        <f t="shared" si="32"/>
        <v>116788938</v>
      </c>
      <c r="K20" s="63">
        <f t="shared" si="32"/>
        <v>41110601</v>
      </c>
      <c r="L20" s="63">
        <f t="shared" si="32"/>
        <v>170583182</v>
      </c>
      <c r="M20" s="63">
        <f t="shared" si="32"/>
        <v>211693783</v>
      </c>
      <c r="N20" s="63">
        <f t="shared" si="32"/>
        <v>7532477</v>
      </c>
      <c r="O20" s="63">
        <f t="shared" si="32"/>
        <v>34808595</v>
      </c>
      <c r="P20" s="63">
        <f t="shared" si="32"/>
        <v>42341072</v>
      </c>
      <c r="Q20" s="63">
        <f t="shared" si="32"/>
        <v>8247892</v>
      </c>
      <c r="R20" s="63">
        <f t="shared" si="32"/>
        <v>14472549</v>
      </c>
      <c r="S20" s="63">
        <f t="shared" si="32"/>
        <v>22720441</v>
      </c>
      <c r="T20" s="63">
        <f t="shared" si="32"/>
        <v>10105455</v>
      </c>
      <c r="U20" s="63">
        <f t="shared" si="32"/>
        <v>83510961</v>
      </c>
      <c r="V20" s="63">
        <f t="shared" si="32"/>
        <v>93616416</v>
      </c>
      <c r="W20" s="63">
        <f t="shared" si="32"/>
        <v>53359974.5</v>
      </c>
      <c r="X20" s="63">
        <f t="shared" si="32"/>
        <v>65217746.589999996</v>
      </c>
      <c r="Y20" s="63">
        <f t="shared" si="32"/>
        <v>118577721.09</v>
      </c>
      <c r="Z20" s="63">
        <f t="shared" si="32"/>
        <v>422552</v>
      </c>
      <c r="AA20" s="63">
        <f t="shared" si="32"/>
        <v>1600903</v>
      </c>
      <c r="AB20" s="63">
        <f t="shared" si="32"/>
        <v>2023455</v>
      </c>
      <c r="AC20" s="63">
        <f t="shared" si="32"/>
        <v>10119364</v>
      </c>
      <c r="AD20" s="63">
        <f t="shared" si="32"/>
        <v>40315852</v>
      </c>
      <c r="AE20" s="63">
        <f t="shared" si="32"/>
        <v>50435216</v>
      </c>
      <c r="AF20" s="63">
        <f t="shared" si="32"/>
        <v>8626018</v>
      </c>
      <c r="AG20" s="63">
        <f t="shared" si="32"/>
        <v>33007881</v>
      </c>
      <c r="AH20" s="63">
        <f t="shared" si="32"/>
        <v>41633899</v>
      </c>
      <c r="AI20" s="63">
        <f t="shared" si="32"/>
        <v>27670261</v>
      </c>
      <c r="AJ20" s="63">
        <f t="shared" si="32"/>
        <v>118004615</v>
      </c>
      <c r="AK20" s="63">
        <f t="shared" si="32"/>
        <v>145674876</v>
      </c>
      <c r="AL20" s="63">
        <f t="shared" si="32"/>
        <v>66403946</v>
      </c>
      <c r="AM20" s="63">
        <f t="shared" si="32"/>
        <v>213035093</v>
      </c>
      <c r="AN20" s="63">
        <f t="shared" si="32"/>
        <v>279439039</v>
      </c>
      <c r="AO20" s="63">
        <f t="shared" si="32"/>
        <v>19591550</v>
      </c>
      <c r="AP20" s="63">
        <f t="shared" si="32"/>
        <v>80072054</v>
      </c>
      <c r="AQ20" s="63">
        <f t="shared" si="32"/>
        <v>99663604</v>
      </c>
      <c r="AR20" s="63">
        <f t="shared" si="32"/>
        <v>1676575</v>
      </c>
      <c r="AS20" s="63">
        <f t="shared" si="32"/>
        <v>6817958</v>
      </c>
      <c r="AT20" s="63">
        <f t="shared" si="32"/>
        <v>8494533</v>
      </c>
      <c r="AU20" s="63">
        <f t="shared" si="32"/>
        <v>6878713</v>
      </c>
      <c r="AV20" s="63">
        <f t="shared" si="32"/>
        <v>18167793</v>
      </c>
      <c r="AW20" s="63">
        <f t="shared" si="32"/>
        <v>25046506</v>
      </c>
      <c r="AX20" s="63">
        <f t="shared" si="32"/>
        <v>3267468</v>
      </c>
      <c r="AY20" s="63">
        <f t="shared" si="32"/>
        <v>25168698</v>
      </c>
      <c r="AZ20" s="63">
        <f t="shared" si="32"/>
        <v>28436166</v>
      </c>
      <c r="BA20" s="63">
        <f t="shared" si="32"/>
        <v>1379759</v>
      </c>
      <c r="BB20" s="63">
        <f t="shared" si="32"/>
        <v>4432245</v>
      </c>
      <c r="BC20" s="63">
        <f t="shared" si="32"/>
        <v>5812004</v>
      </c>
      <c r="BD20" s="63">
        <f t="shared" si="32"/>
        <v>25333</v>
      </c>
      <c r="BE20" s="63">
        <f t="shared" si="32"/>
        <v>266581460</v>
      </c>
      <c r="BF20" s="63">
        <f t="shared" si="32"/>
        <v>266606793</v>
      </c>
      <c r="BG20" s="63">
        <f t="shared" si="32"/>
        <v>1652321</v>
      </c>
      <c r="BH20" s="63">
        <f t="shared" si="32"/>
        <v>2294732</v>
      </c>
      <c r="BI20" s="63">
        <f t="shared" si="32"/>
        <v>3947053</v>
      </c>
      <c r="BJ20" s="63">
        <f t="shared" si="32"/>
        <v>4661447</v>
      </c>
      <c r="BK20" s="63">
        <f t="shared" si="32"/>
        <v>8754204</v>
      </c>
      <c r="BL20" s="63">
        <f t="shared" si="32"/>
        <v>13415651</v>
      </c>
      <c r="BM20" s="63">
        <f t="shared" si="32"/>
        <v>1316445</v>
      </c>
      <c r="BN20" s="63">
        <f t="shared" si="32"/>
        <v>3886886</v>
      </c>
      <c r="BO20" s="63">
        <f t="shared" ref="BO20:CS20" si="33">SUM(BO6:BO19)</f>
        <v>5203331</v>
      </c>
      <c r="BP20" s="63">
        <f t="shared" si="33"/>
        <v>16292377</v>
      </c>
      <c r="BQ20" s="63">
        <f t="shared" si="33"/>
        <v>87177071</v>
      </c>
      <c r="BR20" s="63">
        <f t="shared" si="33"/>
        <v>1252248</v>
      </c>
      <c r="BS20" s="63">
        <f t="shared" si="33"/>
        <v>9240660</v>
      </c>
      <c r="BT20" s="63">
        <f t="shared" si="33"/>
        <v>44481157</v>
      </c>
      <c r="BU20" s="63">
        <f t="shared" si="33"/>
        <v>53721817</v>
      </c>
      <c r="BV20" s="63">
        <f t="shared" si="33"/>
        <v>23064309</v>
      </c>
      <c r="BW20" s="63">
        <f t="shared" si="33"/>
        <v>59461368</v>
      </c>
      <c r="BX20" s="63">
        <f t="shared" si="33"/>
        <v>82525677</v>
      </c>
      <c r="BY20" s="63">
        <f t="shared" si="33"/>
        <v>17870208</v>
      </c>
      <c r="BZ20" s="63">
        <f t="shared" si="33"/>
        <v>86261526</v>
      </c>
      <c r="CA20" s="63">
        <f t="shared" si="33"/>
        <v>104131734</v>
      </c>
      <c r="CB20" s="63">
        <f t="shared" si="33"/>
        <v>30420112</v>
      </c>
      <c r="CC20" s="63">
        <f t="shared" si="33"/>
        <v>48544634</v>
      </c>
      <c r="CD20" s="63">
        <f t="shared" si="33"/>
        <v>78964746</v>
      </c>
      <c r="CE20" s="63">
        <f t="shared" si="33"/>
        <v>30151784</v>
      </c>
      <c r="CF20" s="63">
        <f t="shared" si="33"/>
        <v>124081969</v>
      </c>
      <c r="CG20" s="63">
        <f t="shared" si="33"/>
        <v>154233753</v>
      </c>
      <c r="CH20" s="63">
        <f t="shared" si="33"/>
        <v>206236718</v>
      </c>
      <c r="CI20" s="63">
        <f t="shared" si="33"/>
        <v>464369167</v>
      </c>
      <c r="CJ20" s="63">
        <f t="shared" si="33"/>
        <v>670605885</v>
      </c>
      <c r="CK20" s="63">
        <f t="shared" si="33"/>
        <v>17072347</v>
      </c>
      <c r="CL20" s="63">
        <f t="shared" si="33"/>
        <v>215838256</v>
      </c>
      <c r="CM20" s="63">
        <f t="shared" si="33"/>
        <v>232910603</v>
      </c>
      <c r="CN20" s="63">
        <f t="shared" si="33"/>
        <v>0</v>
      </c>
      <c r="CO20" s="63">
        <f t="shared" si="33"/>
        <v>0</v>
      </c>
      <c r="CP20" s="63">
        <f t="shared" si="33"/>
        <v>330082201</v>
      </c>
      <c r="CQ20" s="63">
        <f t="shared" si="33"/>
        <v>2356280</v>
      </c>
      <c r="CR20" s="63">
        <f t="shared" si="33"/>
        <v>22196852</v>
      </c>
      <c r="CS20" s="63">
        <f t="shared" si="33"/>
        <v>185625</v>
      </c>
    </row>
    <row r="21" spans="1:97" ht="15" customHeight="1" x14ac:dyDescent="0.25">
      <c r="A21" s="60" t="s">
        <v>203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</row>
    <row r="22" spans="1:97" ht="30" x14ac:dyDescent="0.25">
      <c r="A22" s="62" t="s">
        <v>188</v>
      </c>
      <c r="B22" s="61">
        <v>80206</v>
      </c>
      <c r="C22" s="61">
        <v>226623</v>
      </c>
      <c r="D22" s="61">
        <f t="shared" ref="D22:D35" si="34">B22+C22</f>
        <v>306829</v>
      </c>
      <c r="E22" s="61"/>
      <c r="F22" s="61"/>
      <c r="G22" s="61">
        <f t="shared" ref="G22:G35" si="35">F22+E22</f>
        <v>0</v>
      </c>
      <c r="H22" s="61"/>
      <c r="I22" s="61"/>
      <c r="J22" s="61">
        <v>3390198</v>
      </c>
      <c r="K22" s="61"/>
      <c r="L22" s="61">
        <v>82293</v>
      </c>
      <c r="M22" s="61">
        <f t="shared" ref="M22:M35" si="36">L22+K22</f>
        <v>82293</v>
      </c>
      <c r="N22" s="61">
        <v>133191</v>
      </c>
      <c r="O22" s="61">
        <v>615493</v>
      </c>
      <c r="P22" s="61">
        <f t="shared" ref="P22:P35" si="37">O22+N22</f>
        <v>748684</v>
      </c>
      <c r="Q22" s="61">
        <v>150637</v>
      </c>
      <c r="R22" s="61">
        <v>301119</v>
      </c>
      <c r="S22" s="61">
        <f t="shared" ref="S22:S35" si="38">R22+Q22</f>
        <v>451756</v>
      </c>
      <c r="T22" s="61"/>
      <c r="U22" s="61"/>
      <c r="V22" s="61">
        <f t="shared" ref="V22:V35" si="39">U22+T22</f>
        <v>0</v>
      </c>
      <c r="W22" s="61">
        <v>780173.85</v>
      </c>
      <c r="X22" s="61">
        <v>953545.81</v>
      </c>
      <c r="Y22" s="61">
        <f t="shared" ref="Y22:Y35" si="40">X22+W22</f>
        <v>1733719.6600000001</v>
      </c>
      <c r="Z22" s="61">
        <v>147975</v>
      </c>
      <c r="AA22" s="61">
        <v>199843</v>
      </c>
      <c r="AB22" s="61">
        <f t="shared" ref="AB22:AB35" si="41">AA22+Z22</f>
        <v>347818</v>
      </c>
      <c r="AC22" s="61">
        <v>1264</v>
      </c>
      <c r="AD22" s="61">
        <v>5035</v>
      </c>
      <c r="AE22" s="61">
        <f t="shared" ref="AE22:AE35" si="42">AD22+AC22</f>
        <v>6299</v>
      </c>
      <c r="AF22" s="61"/>
      <c r="AG22" s="61"/>
      <c r="AH22" s="61">
        <f t="shared" ref="AH22:AH35" si="43">AG22+AF22</f>
        <v>0</v>
      </c>
      <c r="AI22" s="61">
        <v>1133330</v>
      </c>
      <c r="AJ22" s="61">
        <v>4833287</v>
      </c>
      <c r="AK22" s="61">
        <f t="shared" ref="AK22:AK35" si="44">AJ22+AI22</f>
        <v>5966617</v>
      </c>
      <c r="AL22" s="61">
        <v>389467</v>
      </c>
      <c r="AM22" s="61">
        <v>1253770</v>
      </c>
      <c r="AN22" s="61">
        <f t="shared" ref="AN22:AN35" si="45">AM22+AL22</f>
        <v>1643237</v>
      </c>
      <c r="AO22" s="61">
        <v>251204</v>
      </c>
      <c r="AP22" s="61">
        <v>1026690</v>
      </c>
      <c r="AQ22" s="61">
        <f t="shared" ref="AQ22:AQ35" si="46">AP22+AO22</f>
        <v>1277894</v>
      </c>
      <c r="AR22" s="61">
        <v>9965</v>
      </c>
      <c r="AS22" s="61">
        <v>40525</v>
      </c>
      <c r="AT22" s="61">
        <f t="shared" ref="AT22:AT35" si="47">AS22+AR22</f>
        <v>50490</v>
      </c>
      <c r="AU22" s="61">
        <v>207228</v>
      </c>
      <c r="AV22" s="61">
        <v>547322</v>
      </c>
      <c r="AW22" s="61">
        <f t="shared" ref="AW22:AW35" si="48">AV22+AU22</f>
        <v>754550</v>
      </c>
      <c r="AX22" s="61"/>
      <c r="AY22" s="61"/>
      <c r="AZ22" s="61">
        <f t="shared" ref="AZ22:AZ35" si="49">AY22+AX22</f>
        <v>0</v>
      </c>
      <c r="BA22" s="61">
        <v>151139</v>
      </c>
      <c r="BB22" s="61">
        <v>451071</v>
      </c>
      <c r="BC22" s="61">
        <f t="shared" ref="BC22:BC35" si="50">BB22+BA22</f>
        <v>602210</v>
      </c>
      <c r="BD22" s="61">
        <v>848</v>
      </c>
      <c r="BE22" s="61">
        <v>8922563</v>
      </c>
      <c r="BF22" s="61">
        <f t="shared" ref="BF22:BF35" si="51">BE22+BD22</f>
        <v>8923411</v>
      </c>
      <c r="BG22" s="61">
        <v>249842</v>
      </c>
      <c r="BH22" s="61">
        <v>349716</v>
      </c>
      <c r="BI22" s="61">
        <f t="shared" ref="BI22:BI35" si="52">BH22+BG22</f>
        <v>599558</v>
      </c>
      <c r="BJ22" s="61">
        <v>300052</v>
      </c>
      <c r="BK22" s="61">
        <v>150426</v>
      </c>
      <c r="BL22" s="61">
        <f t="shared" ref="BL22:BL35" si="53">BK22+BJ22</f>
        <v>450478</v>
      </c>
      <c r="BM22" s="61">
        <v>37933</v>
      </c>
      <c r="BN22" s="61">
        <v>112834</v>
      </c>
      <c r="BO22" s="61">
        <f t="shared" ref="BO22:BO35" si="54">BN22+BM22</f>
        <v>150767</v>
      </c>
      <c r="BP22" s="61"/>
      <c r="BQ22" s="61"/>
      <c r="BR22" s="61"/>
      <c r="BS22" s="61"/>
      <c r="BT22" s="61"/>
      <c r="BU22" s="61">
        <f t="shared" ref="BU22:BU35" si="55">BT22+BS22</f>
        <v>0</v>
      </c>
      <c r="BV22" s="61"/>
      <c r="BW22" s="61">
        <v>100224</v>
      </c>
      <c r="BX22" s="61">
        <f t="shared" ref="BX22:BX35" si="56">BW22+BV22</f>
        <v>100224</v>
      </c>
      <c r="BY22" s="61"/>
      <c r="BZ22" s="61">
        <v>139958</v>
      </c>
      <c r="CA22" s="61">
        <f t="shared" ref="CA22:CA23" si="57">BZ22+BY22</f>
        <v>139958</v>
      </c>
      <c r="CB22" s="61">
        <v>288549</v>
      </c>
      <c r="CC22" s="61">
        <v>460468</v>
      </c>
      <c r="CD22" s="61">
        <f t="shared" ref="CD22:CD35" si="58">CC22+CB22</f>
        <v>749017</v>
      </c>
      <c r="CE22" s="61">
        <v>195371</v>
      </c>
      <c r="CF22" s="61">
        <v>803997</v>
      </c>
      <c r="CG22" s="61">
        <f t="shared" ref="CG22:CG35" si="59">CF22+CE22</f>
        <v>999368</v>
      </c>
      <c r="CH22" s="61">
        <v>6369208</v>
      </c>
      <c r="CI22" s="61">
        <v>15016213</v>
      </c>
      <c r="CJ22" s="61">
        <f t="shared" ref="CJ22:CJ35" si="60">CI22+CH22</f>
        <v>21385421</v>
      </c>
      <c r="CK22" s="61">
        <v>302936</v>
      </c>
      <c r="CL22" s="61">
        <v>3829892</v>
      </c>
      <c r="CM22" s="61">
        <f t="shared" ref="CM22:CM35" si="61">CL22+CK22</f>
        <v>4132828</v>
      </c>
      <c r="CN22" s="61"/>
      <c r="CO22" s="61"/>
      <c r="CP22" s="61">
        <v>9004375</v>
      </c>
      <c r="CQ22" s="61">
        <v>161375</v>
      </c>
      <c r="CR22" s="61">
        <v>1520201</v>
      </c>
      <c r="CS22" s="61"/>
    </row>
    <row r="23" spans="1:97" ht="15" customHeight="1" x14ac:dyDescent="0.25">
      <c r="A23" s="62" t="s">
        <v>189</v>
      </c>
      <c r="B23" s="61"/>
      <c r="C23" s="61"/>
      <c r="D23" s="61">
        <f t="shared" si="34"/>
        <v>0</v>
      </c>
      <c r="E23" s="61"/>
      <c r="F23" s="61"/>
      <c r="G23" s="61">
        <f t="shared" si="35"/>
        <v>0</v>
      </c>
      <c r="H23" s="61"/>
      <c r="I23" s="61"/>
      <c r="J23" s="61">
        <v>1534002</v>
      </c>
      <c r="K23" s="61"/>
      <c r="L23" s="61"/>
      <c r="M23" s="61">
        <f t="shared" si="36"/>
        <v>0</v>
      </c>
      <c r="N23" s="61">
        <v>213824</v>
      </c>
      <c r="O23" s="61">
        <v>988110</v>
      </c>
      <c r="P23" s="61">
        <f t="shared" si="37"/>
        <v>1201934</v>
      </c>
      <c r="Q23" s="61"/>
      <c r="R23" s="61"/>
      <c r="S23" s="61">
        <f t="shared" si="38"/>
        <v>0</v>
      </c>
      <c r="T23" s="61"/>
      <c r="U23" s="61"/>
      <c r="V23" s="61">
        <f t="shared" si="39"/>
        <v>0</v>
      </c>
      <c r="W23" s="61"/>
      <c r="X23" s="61"/>
      <c r="Y23" s="61">
        <f t="shared" si="40"/>
        <v>0</v>
      </c>
      <c r="Z23" s="61">
        <v>43995</v>
      </c>
      <c r="AA23" s="61">
        <v>5131</v>
      </c>
      <c r="AB23" s="61">
        <f t="shared" si="41"/>
        <v>49126</v>
      </c>
      <c r="AC23" s="61"/>
      <c r="AD23" s="61"/>
      <c r="AE23" s="61">
        <f t="shared" si="42"/>
        <v>0</v>
      </c>
      <c r="AF23" s="61">
        <v>203389</v>
      </c>
      <c r="AG23" s="61"/>
      <c r="AH23" s="61">
        <f t="shared" si="43"/>
        <v>203389</v>
      </c>
      <c r="AI23" s="61">
        <v>42584</v>
      </c>
      <c r="AJ23" s="61">
        <v>181608</v>
      </c>
      <c r="AK23" s="61">
        <f t="shared" si="44"/>
        <v>224192</v>
      </c>
      <c r="AL23" s="61">
        <v>1517935</v>
      </c>
      <c r="AM23" s="61">
        <v>4886533</v>
      </c>
      <c r="AN23" s="61">
        <f t="shared" si="45"/>
        <v>6404468</v>
      </c>
      <c r="AO23" s="61">
        <v>2946942</v>
      </c>
      <c r="AP23" s="61">
        <v>12044358</v>
      </c>
      <c r="AQ23" s="61">
        <f t="shared" si="46"/>
        <v>14991300</v>
      </c>
      <c r="AR23" s="61"/>
      <c r="AS23" s="61"/>
      <c r="AT23" s="61">
        <f t="shared" si="47"/>
        <v>0</v>
      </c>
      <c r="AU23" s="61">
        <v>165628</v>
      </c>
      <c r="AV23" s="61">
        <v>437450</v>
      </c>
      <c r="AW23" s="61">
        <f t="shared" si="48"/>
        <v>603078</v>
      </c>
      <c r="AX23" s="61"/>
      <c r="AY23" s="61"/>
      <c r="AZ23" s="61">
        <f t="shared" si="49"/>
        <v>0</v>
      </c>
      <c r="BA23" s="61"/>
      <c r="BB23" s="61">
        <v>253087</v>
      </c>
      <c r="BC23" s="61">
        <f t="shared" si="50"/>
        <v>253087</v>
      </c>
      <c r="BD23" s="61"/>
      <c r="BE23" s="61"/>
      <c r="BF23" s="61">
        <f t="shared" si="51"/>
        <v>0</v>
      </c>
      <c r="BG23" s="61"/>
      <c r="BH23" s="61"/>
      <c r="BI23" s="61">
        <f t="shared" si="52"/>
        <v>0</v>
      </c>
      <c r="BJ23" s="61"/>
      <c r="BK23" s="61"/>
      <c r="BL23" s="61">
        <f t="shared" si="53"/>
        <v>0</v>
      </c>
      <c r="BM23" s="61"/>
      <c r="BN23" s="61"/>
      <c r="BO23" s="61">
        <f t="shared" si="54"/>
        <v>0</v>
      </c>
      <c r="BP23" s="61"/>
      <c r="BQ23" s="61"/>
      <c r="BR23" s="61">
        <f t="shared" ref="BR23:BR35" si="62">BQ23+BP23</f>
        <v>0</v>
      </c>
      <c r="BS23" s="61"/>
      <c r="BT23" s="61"/>
      <c r="BU23" s="61">
        <f t="shared" si="55"/>
        <v>0</v>
      </c>
      <c r="BV23" s="61"/>
      <c r="BW23" s="61">
        <v>351786</v>
      </c>
      <c r="BX23" s="61">
        <f t="shared" si="56"/>
        <v>351786</v>
      </c>
      <c r="BY23" s="61">
        <v>865</v>
      </c>
      <c r="BZ23" s="61">
        <v>1250218</v>
      </c>
      <c r="CA23" s="61">
        <f t="shared" si="57"/>
        <v>1251083</v>
      </c>
      <c r="CB23" s="61">
        <v>134496</v>
      </c>
      <c r="CC23" s="61">
        <v>214629</v>
      </c>
      <c r="CD23" s="61">
        <f t="shared" si="58"/>
        <v>349125</v>
      </c>
      <c r="CE23" s="61"/>
      <c r="CF23" s="61"/>
      <c r="CG23" s="61">
        <f t="shared" si="59"/>
        <v>0</v>
      </c>
      <c r="CH23" s="61"/>
      <c r="CI23" s="61"/>
      <c r="CJ23" s="61">
        <f t="shared" si="60"/>
        <v>0</v>
      </c>
      <c r="CK23" s="61"/>
      <c r="CL23" s="61"/>
      <c r="CM23" s="61">
        <f t="shared" si="61"/>
        <v>0</v>
      </c>
      <c r="CN23" s="61"/>
      <c r="CO23" s="61"/>
      <c r="CP23" s="61">
        <f t="shared" ref="CP22:CP35" si="63">CO23+CN23</f>
        <v>0</v>
      </c>
      <c r="CQ23" s="61"/>
      <c r="CR23" s="61"/>
      <c r="CS23" s="61">
        <f t="shared" ref="CS23:CS33" si="64">CR23+CQ23</f>
        <v>0</v>
      </c>
    </row>
    <row r="24" spans="1:97" ht="15" customHeight="1" x14ac:dyDescent="0.25">
      <c r="A24" s="62" t="s">
        <v>190</v>
      </c>
      <c r="B24" s="61"/>
      <c r="C24" s="61"/>
      <c r="D24" s="61">
        <f t="shared" si="34"/>
        <v>0</v>
      </c>
      <c r="E24" s="61"/>
      <c r="F24" s="61"/>
      <c r="G24" s="61">
        <f t="shared" si="35"/>
        <v>0</v>
      </c>
      <c r="H24" s="61"/>
      <c r="I24" s="61"/>
      <c r="J24" s="61">
        <f t="shared" ref="J24:J33" si="65">I24+H24</f>
        <v>0</v>
      </c>
      <c r="K24" s="61"/>
      <c r="L24" s="61"/>
      <c r="M24" s="61">
        <f t="shared" si="36"/>
        <v>0</v>
      </c>
      <c r="N24" s="61"/>
      <c r="O24" s="61"/>
      <c r="P24" s="61">
        <f t="shared" si="37"/>
        <v>0</v>
      </c>
      <c r="Q24" s="61"/>
      <c r="R24" s="61"/>
      <c r="S24" s="61">
        <f t="shared" si="38"/>
        <v>0</v>
      </c>
      <c r="T24" s="61"/>
      <c r="U24" s="61"/>
      <c r="V24" s="61">
        <f t="shared" si="39"/>
        <v>0</v>
      </c>
      <c r="W24" s="61"/>
      <c r="X24" s="61"/>
      <c r="Y24" s="61">
        <f t="shared" si="40"/>
        <v>0</v>
      </c>
      <c r="Z24" s="61"/>
      <c r="AA24" s="61"/>
      <c r="AB24" s="61">
        <f t="shared" si="41"/>
        <v>0</v>
      </c>
      <c r="AC24" s="61"/>
      <c r="AD24" s="61"/>
      <c r="AE24" s="61">
        <f t="shared" si="42"/>
        <v>0</v>
      </c>
      <c r="AF24" s="61"/>
      <c r="AG24" s="61">
        <v>411133</v>
      </c>
      <c r="AH24" s="61">
        <f t="shared" si="43"/>
        <v>411133</v>
      </c>
      <c r="AI24" s="61"/>
      <c r="AJ24" s="61"/>
      <c r="AK24" s="61">
        <f t="shared" si="44"/>
        <v>0</v>
      </c>
      <c r="AL24" s="61"/>
      <c r="AM24" s="61"/>
      <c r="AN24" s="61">
        <f t="shared" si="45"/>
        <v>0</v>
      </c>
      <c r="AO24" s="61"/>
      <c r="AP24" s="61"/>
      <c r="AQ24" s="61">
        <f t="shared" si="46"/>
        <v>0</v>
      </c>
      <c r="AR24" s="61"/>
      <c r="AS24" s="61"/>
      <c r="AT24" s="61">
        <f t="shared" si="47"/>
        <v>0</v>
      </c>
      <c r="AU24" s="61"/>
      <c r="AV24" s="61"/>
      <c r="AW24" s="61">
        <f t="shared" si="48"/>
        <v>0</v>
      </c>
      <c r="AX24" s="61"/>
      <c r="AY24" s="61"/>
      <c r="AZ24" s="61">
        <f t="shared" si="49"/>
        <v>0</v>
      </c>
      <c r="BA24" s="61"/>
      <c r="BB24" s="61"/>
      <c r="BC24" s="61">
        <f t="shared" si="50"/>
        <v>0</v>
      </c>
      <c r="BD24" s="61"/>
      <c r="BE24" s="61"/>
      <c r="BF24" s="61">
        <f t="shared" si="51"/>
        <v>0</v>
      </c>
      <c r="BG24" s="61"/>
      <c r="BH24" s="61"/>
      <c r="BI24" s="61">
        <f t="shared" si="52"/>
        <v>0</v>
      </c>
      <c r="BJ24" s="61"/>
      <c r="BK24" s="61"/>
      <c r="BL24" s="61">
        <f t="shared" si="53"/>
        <v>0</v>
      </c>
      <c r="BM24" s="61"/>
      <c r="BN24" s="61"/>
      <c r="BO24" s="61">
        <f t="shared" si="54"/>
        <v>0</v>
      </c>
      <c r="BP24" s="61"/>
      <c r="BQ24" s="61"/>
      <c r="BR24" s="61">
        <f t="shared" si="62"/>
        <v>0</v>
      </c>
      <c r="BS24" s="61"/>
      <c r="BT24" s="61"/>
      <c r="BU24" s="61">
        <f t="shared" si="55"/>
        <v>0</v>
      </c>
      <c r="BV24" s="61"/>
      <c r="BW24" s="61"/>
      <c r="BX24" s="61">
        <f t="shared" si="56"/>
        <v>0</v>
      </c>
      <c r="BY24" s="61"/>
      <c r="BZ24" s="61"/>
      <c r="CA24" s="61">
        <f t="shared" ref="CA24:CA34" si="66">BZ24+BY24</f>
        <v>0</v>
      </c>
      <c r="CB24" s="61"/>
      <c r="CC24" s="61"/>
      <c r="CD24" s="61">
        <f t="shared" si="58"/>
        <v>0</v>
      </c>
      <c r="CE24" s="61"/>
      <c r="CF24" s="61"/>
      <c r="CG24" s="61">
        <f t="shared" si="59"/>
        <v>0</v>
      </c>
      <c r="CH24" s="61"/>
      <c r="CI24" s="61"/>
      <c r="CJ24" s="61">
        <f t="shared" si="60"/>
        <v>0</v>
      </c>
      <c r="CK24" s="61"/>
      <c r="CL24" s="61"/>
      <c r="CM24" s="61">
        <f t="shared" si="61"/>
        <v>0</v>
      </c>
      <c r="CN24" s="61"/>
      <c r="CO24" s="61"/>
      <c r="CP24" s="61">
        <f t="shared" si="63"/>
        <v>0</v>
      </c>
      <c r="CQ24" s="61"/>
      <c r="CR24" s="61"/>
      <c r="CS24" s="61">
        <f t="shared" si="64"/>
        <v>0</v>
      </c>
    </row>
    <row r="25" spans="1:97" ht="15" customHeight="1" x14ac:dyDescent="0.25">
      <c r="A25" s="62" t="s">
        <v>191</v>
      </c>
      <c r="B25" s="61"/>
      <c r="C25" s="61"/>
      <c r="D25" s="61">
        <f t="shared" si="34"/>
        <v>0</v>
      </c>
      <c r="E25" s="61"/>
      <c r="F25" s="61"/>
      <c r="G25" s="61">
        <f t="shared" si="35"/>
        <v>0</v>
      </c>
      <c r="H25" s="61"/>
      <c r="I25" s="61"/>
      <c r="J25" s="61">
        <f t="shared" si="65"/>
        <v>0</v>
      </c>
      <c r="K25" s="61"/>
      <c r="L25" s="61"/>
      <c r="M25" s="61">
        <f t="shared" si="36"/>
        <v>0</v>
      </c>
      <c r="N25" s="61"/>
      <c r="O25" s="61"/>
      <c r="P25" s="61">
        <f t="shared" si="37"/>
        <v>0</v>
      </c>
      <c r="Q25" s="61"/>
      <c r="R25" s="61"/>
      <c r="S25" s="61">
        <f t="shared" si="38"/>
        <v>0</v>
      </c>
      <c r="T25" s="61"/>
      <c r="U25" s="61"/>
      <c r="V25" s="61">
        <f t="shared" si="39"/>
        <v>0</v>
      </c>
      <c r="W25" s="61"/>
      <c r="X25" s="61"/>
      <c r="Y25" s="61">
        <f t="shared" si="40"/>
        <v>0</v>
      </c>
      <c r="Z25" s="61"/>
      <c r="AA25" s="61"/>
      <c r="AB25" s="61">
        <f t="shared" si="41"/>
        <v>0</v>
      </c>
      <c r="AC25" s="61"/>
      <c r="AD25" s="61"/>
      <c r="AE25" s="61">
        <f t="shared" si="42"/>
        <v>0</v>
      </c>
      <c r="AF25" s="61"/>
      <c r="AG25" s="61"/>
      <c r="AH25" s="61">
        <f t="shared" si="43"/>
        <v>0</v>
      </c>
      <c r="AI25" s="61"/>
      <c r="AJ25" s="61"/>
      <c r="AK25" s="61">
        <f t="shared" si="44"/>
        <v>0</v>
      </c>
      <c r="AL25" s="61"/>
      <c r="AM25" s="61"/>
      <c r="AN25" s="61">
        <f t="shared" si="45"/>
        <v>0</v>
      </c>
      <c r="AO25" s="61"/>
      <c r="AP25" s="61"/>
      <c r="AQ25" s="61">
        <f t="shared" si="46"/>
        <v>0</v>
      </c>
      <c r="AR25" s="61"/>
      <c r="AS25" s="61"/>
      <c r="AT25" s="61">
        <f t="shared" si="47"/>
        <v>0</v>
      </c>
      <c r="AU25" s="61"/>
      <c r="AV25" s="61"/>
      <c r="AW25" s="61">
        <f t="shared" si="48"/>
        <v>0</v>
      </c>
      <c r="AX25" s="61"/>
      <c r="AY25" s="61"/>
      <c r="AZ25" s="61">
        <f t="shared" si="49"/>
        <v>0</v>
      </c>
      <c r="BA25" s="61"/>
      <c r="BB25" s="61"/>
      <c r="BC25" s="61">
        <f t="shared" si="50"/>
        <v>0</v>
      </c>
      <c r="BD25" s="61"/>
      <c r="BE25" s="61"/>
      <c r="BF25" s="61">
        <f t="shared" si="51"/>
        <v>0</v>
      </c>
      <c r="BG25" s="61"/>
      <c r="BH25" s="61"/>
      <c r="BI25" s="61">
        <f t="shared" si="52"/>
        <v>0</v>
      </c>
      <c r="BJ25" s="61"/>
      <c r="BK25" s="61"/>
      <c r="BL25" s="61">
        <f t="shared" si="53"/>
        <v>0</v>
      </c>
      <c r="BM25" s="61"/>
      <c r="BN25" s="61"/>
      <c r="BO25" s="61">
        <f t="shared" si="54"/>
        <v>0</v>
      </c>
      <c r="BP25" s="61"/>
      <c r="BQ25" s="61"/>
      <c r="BR25" s="61">
        <f t="shared" si="62"/>
        <v>0</v>
      </c>
      <c r="BS25" s="61"/>
      <c r="BT25" s="61"/>
      <c r="BU25" s="61">
        <f t="shared" si="55"/>
        <v>0</v>
      </c>
      <c r="BV25" s="61"/>
      <c r="BW25" s="61"/>
      <c r="BX25" s="61">
        <f t="shared" si="56"/>
        <v>0</v>
      </c>
      <c r="BY25" s="61"/>
      <c r="BZ25" s="61"/>
      <c r="CA25" s="61">
        <f t="shared" si="66"/>
        <v>0</v>
      </c>
      <c r="CB25" s="61"/>
      <c r="CC25" s="61"/>
      <c r="CD25" s="61">
        <f t="shared" si="58"/>
        <v>0</v>
      </c>
      <c r="CE25" s="61"/>
      <c r="CF25" s="61"/>
      <c r="CG25" s="61">
        <f t="shared" si="59"/>
        <v>0</v>
      </c>
      <c r="CH25" s="61"/>
      <c r="CI25" s="61"/>
      <c r="CJ25" s="61">
        <f t="shared" si="60"/>
        <v>0</v>
      </c>
      <c r="CK25" s="61"/>
      <c r="CL25" s="61"/>
      <c r="CM25" s="61">
        <f t="shared" si="61"/>
        <v>0</v>
      </c>
      <c r="CN25" s="61"/>
      <c r="CO25" s="61"/>
      <c r="CP25" s="61">
        <f t="shared" si="63"/>
        <v>0</v>
      </c>
      <c r="CQ25" s="61"/>
      <c r="CR25" s="61"/>
      <c r="CS25" s="61">
        <f t="shared" si="64"/>
        <v>0</v>
      </c>
    </row>
    <row r="26" spans="1:97" ht="15" customHeight="1" x14ac:dyDescent="0.25">
      <c r="A26" s="62" t="s">
        <v>192</v>
      </c>
      <c r="B26" s="61"/>
      <c r="C26" s="61"/>
      <c r="D26" s="61">
        <f t="shared" si="34"/>
        <v>0</v>
      </c>
      <c r="E26" s="61"/>
      <c r="F26" s="61"/>
      <c r="G26" s="61">
        <f t="shared" si="35"/>
        <v>0</v>
      </c>
      <c r="H26" s="61"/>
      <c r="I26" s="61"/>
      <c r="J26" s="61">
        <f t="shared" si="65"/>
        <v>0</v>
      </c>
      <c r="K26" s="61"/>
      <c r="L26" s="61"/>
      <c r="M26" s="61">
        <f t="shared" si="36"/>
        <v>0</v>
      </c>
      <c r="N26" s="61">
        <v>209283</v>
      </c>
      <c r="O26" s="61">
        <v>967126</v>
      </c>
      <c r="P26" s="61">
        <f t="shared" si="37"/>
        <v>1176409</v>
      </c>
      <c r="Q26" s="61"/>
      <c r="R26" s="61"/>
      <c r="S26" s="61">
        <f t="shared" si="38"/>
        <v>0</v>
      </c>
      <c r="T26" s="61"/>
      <c r="U26" s="61"/>
      <c r="V26" s="61">
        <f t="shared" si="39"/>
        <v>0</v>
      </c>
      <c r="W26" s="61"/>
      <c r="X26" s="61"/>
      <c r="Y26" s="61">
        <f t="shared" si="40"/>
        <v>0</v>
      </c>
      <c r="Z26" s="61"/>
      <c r="AA26" s="61">
        <v>4820</v>
      </c>
      <c r="AB26" s="61">
        <f t="shared" si="41"/>
        <v>4820</v>
      </c>
      <c r="AC26" s="61"/>
      <c r="AD26" s="61"/>
      <c r="AE26" s="61">
        <f t="shared" si="42"/>
        <v>0</v>
      </c>
      <c r="AF26" s="61">
        <v>307449</v>
      </c>
      <c r="AG26" s="61">
        <v>1383522</v>
      </c>
      <c r="AH26" s="61">
        <f t="shared" si="43"/>
        <v>1690971</v>
      </c>
      <c r="AI26" s="61">
        <v>86832</v>
      </c>
      <c r="AJ26" s="61">
        <v>370308</v>
      </c>
      <c r="AK26" s="61">
        <f t="shared" si="44"/>
        <v>457140</v>
      </c>
      <c r="AL26" s="61"/>
      <c r="AM26" s="61"/>
      <c r="AN26" s="61">
        <f t="shared" si="45"/>
        <v>0</v>
      </c>
      <c r="AO26" s="61"/>
      <c r="AP26" s="61"/>
      <c r="AQ26" s="61">
        <f t="shared" si="46"/>
        <v>0</v>
      </c>
      <c r="AR26" s="61"/>
      <c r="AS26" s="61"/>
      <c r="AT26" s="61">
        <f t="shared" si="47"/>
        <v>0</v>
      </c>
      <c r="AU26" s="61"/>
      <c r="AV26" s="61"/>
      <c r="AW26" s="61">
        <f t="shared" si="48"/>
        <v>0</v>
      </c>
      <c r="AX26" s="61"/>
      <c r="AY26" s="61"/>
      <c r="AZ26" s="61">
        <f t="shared" si="49"/>
        <v>0</v>
      </c>
      <c r="BA26" s="61"/>
      <c r="BB26" s="61"/>
      <c r="BC26" s="61">
        <f t="shared" si="50"/>
        <v>0</v>
      </c>
      <c r="BD26" s="61"/>
      <c r="BE26" s="61"/>
      <c r="BF26" s="61">
        <f t="shared" si="51"/>
        <v>0</v>
      </c>
      <c r="BG26" s="61"/>
      <c r="BH26" s="61"/>
      <c r="BI26" s="61">
        <f t="shared" si="52"/>
        <v>0</v>
      </c>
      <c r="BJ26" s="61">
        <v>23100</v>
      </c>
      <c r="BK26" s="61"/>
      <c r="BL26" s="61">
        <f t="shared" si="53"/>
        <v>23100</v>
      </c>
      <c r="BM26" s="61"/>
      <c r="BN26" s="61"/>
      <c r="BO26" s="61">
        <f t="shared" si="54"/>
        <v>0</v>
      </c>
      <c r="BP26" s="61">
        <v>458424</v>
      </c>
      <c r="BQ26" s="61">
        <v>2452931</v>
      </c>
      <c r="BR26" s="61">
        <f t="shared" si="62"/>
        <v>2911355</v>
      </c>
      <c r="BS26" s="61">
        <v>642385</v>
      </c>
      <c r="BT26" s="61">
        <v>3092206</v>
      </c>
      <c r="BU26" s="61">
        <f t="shared" si="55"/>
        <v>3734591</v>
      </c>
      <c r="BV26" s="61"/>
      <c r="BW26" s="61"/>
      <c r="BX26" s="61">
        <f t="shared" si="56"/>
        <v>0</v>
      </c>
      <c r="BY26" s="61"/>
      <c r="BZ26" s="61"/>
      <c r="CA26" s="61">
        <f t="shared" si="66"/>
        <v>0</v>
      </c>
      <c r="CB26" s="61"/>
      <c r="CC26" s="61"/>
      <c r="CD26" s="61">
        <f t="shared" si="58"/>
        <v>0</v>
      </c>
      <c r="CE26" s="61"/>
      <c r="CF26" s="61"/>
      <c r="CG26" s="61">
        <f t="shared" si="59"/>
        <v>0</v>
      </c>
      <c r="CH26" s="61"/>
      <c r="CI26" s="61"/>
      <c r="CJ26" s="61">
        <f t="shared" si="60"/>
        <v>0</v>
      </c>
      <c r="CK26" s="61"/>
      <c r="CL26" s="61"/>
      <c r="CM26" s="61">
        <f t="shared" si="61"/>
        <v>0</v>
      </c>
      <c r="CN26" s="61"/>
      <c r="CO26" s="61"/>
      <c r="CP26" s="61">
        <f t="shared" si="63"/>
        <v>0</v>
      </c>
      <c r="CQ26" s="61">
        <v>30215</v>
      </c>
      <c r="CR26" s="61">
        <v>284630</v>
      </c>
      <c r="CS26" s="61">
        <f t="shared" si="64"/>
        <v>314845</v>
      </c>
    </row>
    <row r="27" spans="1:97" ht="15" customHeight="1" x14ac:dyDescent="0.25">
      <c r="A27" s="62" t="s">
        <v>193</v>
      </c>
      <c r="B27" s="61"/>
      <c r="C27" s="61"/>
      <c r="D27" s="61">
        <f t="shared" si="34"/>
        <v>0</v>
      </c>
      <c r="E27" s="61"/>
      <c r="F27" s="61"/>
      <c r="G27" s="61">
        <f t="shared" si="35"/>
        <v>0</v>
      </c>
      <c r="H27" s="61"/>
      <c r="I27" s="61"/>
      <c r="J27" s="61">
        <f t="shared" si="65"/>
        <v>0</v>
      </c>
      <c r="K27" s="61"/>
      <c r="L27" s="61"/>
      <c r="M27" s="61">
        <f t="shared" si="36"/>
        <v>0</v>
      </c>
      <c r="N27" s="61"/>
      <c r="O27" s="61"/>
      <c r="P27" s="61">
        <f t="shared" si="37"/>
        <v>0</v>
      </c>
      <c r="Q27" s="61"/>
      <c r="R27" s="61"/>
      <c r="S27" s="61">
        <f t="shared" si="38"/>
        <v>0</v>
      </c>
      <c r="T27" s="61"/>
      <c r="U27" s="61"/>
      <c r="V27" s="61">
        <f t="shared" si="39"/>
        <v>0</v>
      </c>
      <c r="W27" s="61"/>
      <c r="X27" s="61"/>
      <c r="Y27" s="61">
        <f t="shared" si="40"/>
        <v>0</v>
      </c>
      <c r="Z27" s="61">
        <v>3925</v>
      </c>
      <c r="AA27" s="61"/>
      <c r="AB27" s="61">
        <f t="shared" si="41"/>
        <v>3925</v>
      </c>
      <c r="AC27" s="61"/>
      <c r="AD27" s="61"/>
      <c r="AE27" s="61">
        <f t="shared" si="42"/>
        <v>0</v>
      </c>
      <c r="AF27" s="61"/>
      <c r="AG27" s="61"/>
      <c r="AH27" s="61">
        <f t="shared" si="43"/>
        <v>0</v>
      </c>
      <c r="AI27" s="61">
        <v>3056</v>
      </c>
      <c r="AJ27" s="61">
        <v>13032</v>
      </c>
      <c r="AK27" s="61">
        <f t="shared" si="44"/>
        <v>16088</v>
      </c>
      <c r="AL27" s="61">
        <v>3180</v>
      </c>
      <c r="AM27" s="61">
        <v>10239</v>
      </c>
      <c r="AN27" s="61">
        <f t="shared" si="45"/>
        <v>13419</v>
      </c>
      <c r="AO27" s="61"/>
      <c r="AP27" s="61"/>
      <c r="AQ27" s="61">
        <f t="shared" si="46"/>
        <v>0</v>
      </c>
      <c r="AR27" s="61"/>
      <c r="AS27" s="61"/>
      <c r="AT27" s="61">
        <f t="shared" si="47"/>
        <v>0</v>
      </c>
      <c r="AU27" s="61"/>
      <c r="AV27" s="61"/>
      <c r="AW27" s="61">
        <f t="shared" si="48"/>
        <v>0</v>
      </c>
      <c r="AX27" s="61">
        <v>2151</v>
      </c>
      <c r="AY27" s="61">
        <v>16572</v>
      </c>
      <c r="AZ27" s="61">
        <f t="shared" si="49"/>
        <v>18723</v>
      </c>
      <c r="BA27" s="61"/>
      <c r="BB27" s="61"/>
      <c r="BC27" s="61">
        <f t="shared" si="50"/>
        <v>0</v>
      </c>
      <c r="BD27" s="61"/>
      <c r="BE27" s="61"/>
      <c r="BF27" s="61">
        <f t="shared" si="51"/>
        <v>0</v>
      </c>
      <c r="BG27" s="61"/>
      <c r="BH27" s="61"/>
      <c r="BI27" s="61">
        <f t="shared" si="52"/>
        <v>0</v>
      </c>
      <c r="BJ27" s="61"/>
      <c r="BK27" s="61"/>
      <c r="BL27" s="61">
        <f t="shared" si="53"/>
        <v>0</v>
      </c>
      <c r="BM27" s="61"/>
      <c r="BN27" s="61"/>
      <c r="BO27" s="61">
        <f t="shared" si="54"/>
        <v>0</v>
      </c>
      <c r="BP27" s="61"/>
      <c r="BQ27" s="61"/>
      <c r="BR27" s="61"/>
      <c r="BS27" s="61"/>
      <c r="BT27" s="61"/>
      <c r="BU27" s="61">
        <f t="shared" si="55"/>
        <v>0</v>
      </c>
      <c r="BV27" s="61"/>
      <c r="BW27" s="61"/>
      <c r="BX27" s="61">
        <f t="shared" si="56"/>
        <v>0</v>
      </c>
      <c r="BY27" s="61"/>
      <c r="BZ27" s="61"/>
      <c r="CA27" s="61">
        <f t="shared" si="66"/>
        <v>0</v>
      </c>
      <c r="CB27" s="61"/>
      <c r="CC27" s="61"/>
      <c r="CD27" s="61">
        <f t="shared" si="58"/>
        <v>0</v>
      </c>
      <c r="CE27" s="61"/>
      <c r="CF27" s="61"/>
      <c r="CG27" s="61">
        <f t="shared" si="59"/>
        <v>0</v>
      </c>
      <c r="CH27" s="61"/>
      <c r="CI27" s="61"/>
      <c r="CJ27" s="61">
        <f t="shared" si="60"/>
        <v>0</v>
      </c>
      <c r="CK27" s="61">
        <v>6</v>
      </c>
      <c r="CL27" s="61">
        <v>76</v>
      </c>
      <c r="CM27" s="61">
        <f t="shared" si="61"/>
        <v>82</v>
      </c>
      <c r="CN27" s="61"/>
      <c r="CO27" s="61"/>
      <c r="CP27" s="61">
        <f t="shared" si="63"/>
        <v>0</v>
      </c>
      <c r="CQ27" s="61"/>
      <c r="CR27" s="61"/>
      <c r="CS27" s="61">
        <f t="shared" si="64"/>
        <v>0</v>
      </c>
    </row>
    <row r="28" spans="1:97" ht="15" customHeight="1" x14ac:dyDescent="0.25">
      <c r="A28" s="62" t="s">
        <v>194</v>
      </c>
      <c r="B28" s="61">
        <v>57279</v>
      </c>
      <c r="C28" s="61">
        <v>161843</v>
      </c>
      <c r="D28" s="61">
        <f t="shared" si="34"/>
        <v>219122</v>
      </c>
      <c r="E28" s="61"/>
      <c r="F28" s="61">
        <v>716688</v>
      </c>
      <c r="G28" s="61">
        <f t="shared" si="35"/>
        <v>716688</v>
      </c>
      <c r="H28" s="61"/>
      <c r="I28" s="61"/>
      <c r="J28" s="61">
        <v>9978085</v>
      </c>
      <c r="K28" s="61">
        <v>3971370</v>
      </c>
      <c r="L28" s="61">
        <v>993091</v>
      </c>
      <c r="M28" s="61">
        <f t="shared" si="36"/>
        <v>4964461</v>
      </c>
      <c r="N28" s="61">
        <v>275187</v>
      </c>
      <c r="O28" s="61">
        <v>1271677</v>
      </c>
      <c r="P28" s="61">
        <f t="shared" si="37"/>
        <v>1546864</v>
      </c>
      <c r="Q28" s="61"/>
      <c r="R28" s="61">
        <v>1158233</v>
      </c>
      <c r="S28" s="61">
        <f t="shared" si="38"/>
        <v>1158233</v>
      </c>
      <c r="T28" s="61">
        <v>31634</v>
      </c>
      <c r="U28" s="61">
        <v>261420</v>
      </c>
      <c r="V28" s="61">
        <f t="shared" si="39"/>
        <v>293054</v>
      </c>
      <c r="W28" s="61">
        <v>2224346.67</v>
      </c>
      <c r="X28" s="61">
        <v>2718645.94</v>
      </c>
      <c r="Y28" s="61">
        <f t="shared" si="40"/>
        <v>4942992.6099999994</v>
      </c>
      <c r="Z28" s="61"/>
      <c r="AA28" s="61">
        <v>89003</v>
      </c>
      <c r="AB28" s="61">
        <f t="shared" si="41"/>
        <v>89003</v>
      </c>
      <c r="AC28" s="61">
        <v>223</v>
      </c>
      <c r="AD28" s="61">
        <v>887</v>
      </c>
      <c r="AE28" s="61">
        <f t="shared" si="42"/>
        <v>1110</v>
      </c>
      <c r="AF28" s="61"/>
      <c r="AG28" s="61">
        <v>1561674</v>
      </c>
      <c r="AH28" s="61">
        <f t="shared" si="43"/>
        <v>1561674</v>
      </c>
      <c r="AI28" s="61">
        <v>1674615</v>
      </c>
      <c r="AJ28" s="61">
        <v>7141679</v>
      </c>
      <c r="AK28" s="61">
        <f t="shared" si="44"/>
        <v>8816294</v>
      </c>
      <c r="AL28" s="61">
        <v>2012675</v>
      </c>
      <c r="AM28" s="61">
        <v>6009303</v>
      </c>
      <c r="AN28" s="61">
        <f t="shared" si="45"/>
        <v>8021978</v>
      </c>
      <c r="AO28" s="61">
        <v>189375</v>
      </c>
      <c r="AP28" s="61">
        <v>773988</v>
      </c>
      <c r="AQ28" s="61">
        <f t="shared" si="46"/>
        <v>963363</v>
      </c>
      <c r="AR28" s="61">
        <v>3514</v>
      </c>
      <c r="AS28" s="61">
        <v>14292</v>
      </c>
      <c r="AT28" s="61">
        <f t="shared" si="47"/>
        <v>17806</v>
      </c>
      <c r="AU28" s="61">
        <v>51622</v>
      </c>
      <c r="AV28" s="61">
        <v>136343</v>
      </c>
      <c r="AW28" s="61">
        <f t="shared" si="48"/>
        <v>187965</v>
      </c>
      <c r="AX28" s="61">
        <v>232804</v>
      </c>
      <c r="AY28" s="61">
        <v>1793244</v>
      </c>
      <c r="AZ28" s="61">
        <f t="shared" si="49"/>
        <v>2026048</v>
      </c>
      <c r="BA28" s="61">
        <v>118831</v>
      </c>
      <c r="BB28" s="61">
        <v>159537</v>
      </c>
      <c r="BC28" s="61">
        <f t="shared" si="50"/>
        <v>278368</v>
      </c>
      <c r="BD28" s="61">
        <v>642</v>
      </c>
      <c r="BE28" s="61">
        <v>6753095</v>
      </c>
      <c r="BF28" s="61">
        <f t="shared" si="51"/>
        <v>6753737</v>
      </c>
      <c r="BG28" s="61">
        <v>147572</v>
      </c>
      <c r="BH28" s="61">
        <v>368163</v>
      </c>
      <c r="BI28" s="61">
        <f>BH28+BG28</f>
        <v>515735</v>
      </c>
      <c r="BJ28" s="61">
        <v>415277</v>
      </c>
      <c r="BK28" s="61">
        <v>85414</v>
      </c>
      <c r="BL28" s="61">
        <f t="shared" si="53"/>
        <v>500691</v>
      </c>
      <c r="BM28" s="61">
        <v>25974</v>
      </c>
      <c r="BN28" s="61">
        <v>77262</v>
      </c>
      <c r="BO28" s="61">
        <f t="shared" si="54"/>
        <v>103236</v>
      </c>
      <c r="BP28" s="61">
        <v>75661</v>
      </c>
      <c r="BQ28" s="61">
        <v>404846</v>
      </c>
      <c r="BR28" s="61"/>
      <c r="BS28" s="61">
        <v>344065</v>
      </c>
      <c r="BT28" s="61">
        <v>1656203</v>
      </c>
      <c r="BU28" s="61">
        <f t="shared" si="55"/>
        <v>2000268</v>
      </c>
      <c r="BV28" s="61"/>
      <c r="BW28" s="61">
        <v>1383991</v>
      </c>
      <c r="BX28" s="61">
        <f t="shared" si="56"/>
        <v>1383991</v>
      </c>
      <c r="BY28" s="61"/>
      <c r="BZ28" s="61"/>
      <c r="CA28" s="61">
        <f t="shared" si="66"/>
        <v>0</v>
      </c>
      <c r="CB28" s="61"/>
      <c r="CC28" s="61"/>
      <c r="CD28" s="61">
        <f t="shared" si="58"/>
        <v>0</v>
      </c>
      <c r="CE28" s="61">
        <v>112763</v>
      </c>
      <c r="CF28" s="61">
        <v>464047</v>
      </c>
      <c r="CG28" s="61">
        <f t="shared" si="59"/>
        <v>576810</v>
      </c>
      <c r="CH28" s="61">
        <v>2700683</v>
      </c>
      <c r="CI28" s="61">
        <v>6367201</v>
      </c>
      <c r="CJ28" s="61">
        <f t="shared" si="60"/>
        <v>9067884</v>
      </c>
      <c r="CK28" s="61">
        <v>1059432</v>
      </c>
      <c r="CL28" s="61">
        <v>13393935</v>
      </c>
      <c r="CM28" s="61">
        <f t="shared" si="61"/>
        <v>14453367</v>
      </c>
      <c r="CN28" s="61"/>
      <c r="CO28" s="61"/>
      <c r="CP28" s="61">
        <v>11836586</v>
      </c>
      <c r="CQ28" s="61"/>
      <c r="CR28" s="61"/>
      <c r="CS28" s="61"/>
    </row>
    <row r="29" spans="1:97" ht="15" customHeight="1" x14ac:dyDescent="0.25">
      <c r="A29" s="62" t="s">
        <v>195</v>
      </c>
      <c r="B29" s="61">
        <v>50078</v>
      </c>
      <c r="C29" s="61">
        <v>141497</v>
      </c>
      <c r="D29" s="61">
        <f t="shared" si="34"/>
        <v>191575</v>
      </c>
      <c r="E29" s="61"/>
      <c r="F29" s="61">
        <v>201393</v>
      </c>
      <c r="G29" s="61">
        <f t="shared" si="35"/>
        <v>201393</v>
      </c>
      <c r="H29" s="61"/>
      <c r="I29" s="61"/>
      <c r="J29" s="61">
        <v>2025553</v>
      </c>
      <c r="K29" s="61"/>
      <c r="L29" s="61">
        <v>4976083</v>
      </c>
      <c r="M29" s="61">
        <f t="shared" si="36"/>
        <v>4976083</v>
      </c>
      <c r="N29" s="61">
        <v>256840</v>
      </c>
      <c r="O29" s="61">
        <v>1186891</v>
      </c>
      <c r="P29" s="61">
        <f t="shared" si="37"/>
        <v>1443731</v>
      </c>
      <c r="Q29" s="61">
        <v>299813</v>
      </c>
      <c r="R29" s="61">
        <v>725652</v>
      </c>
      <c r="S29" s="61">
        <f t="shared" si="38"/>
        <v>1025465</v>
      </c>
      <c r="T29" s="61">
        <v>475438</v>
      </c>
      <c r="U29" s="61">
        <v>3928998</v>
      </c>
      <c r="V29" s="61">
        <f t="shared" si="39"/>
        <v>4404436</v>
      </c>
      <c r="W29" s="61"/>
      <c r="X29" s="61">
        <v>2724556.64</v>
      </c>
      <c r="Y29" s="61">
        <f t="shared" si="40"/>
        <v>2724556.64</v>
      </c>
      <c r="Z29" s="61"/>
      <c r="AA29" s="61">
        <v>114787</v>
      </c>
      <c r="AB29" s="61">
        <f t="shared" si="41"/>
        <v>114787</v>
      </c>
      <c r="AC29" s="61">
        <v>78232</v>
      </c>
      <c r="AD29" s="61">
        <v>311677</v>
      </c>
      <c r="AE29" s="61">
        <f t="shared" si="42"/>
        <v>389909</v>
      </c>
      <c r="AF29" s="61">
        <v>247172</v>
      </c>
      <c r="AG29" s="61">
        <v>2027179</v>
      </c>
      <c r="AH29" s="61">
        <f t="shared" si="43"/>
        <v>2274351</v>
      </c>
      <c r="AI29" s="61">
        <v>608048</v>
      </c>
      <c r="AJ29" s="61">
        <v>2593129</v>
      </c>
      <c r="AK29" s="61">
        <f t="shared" si="44"/>
        <v>3201177</v>
      </c>
      <c r="AL29" s="61">
        <v>3540660</v>
      </c>
      <c r="AM29" s="61">
        <v>11398088</v>
      </c>
      <c r="AN29" s="61">
        <f t="shared" si="45"/>
        <v>14938748</v>
      </c>
      <c r="AO29" s="61">
        <v>767675</v>
      </c>
      <c r="AP29" s="61">
        <v>3137540</v>
      </c>
      <c r="AQ29" s="61">
        <f t="shared" si="46"/>
        <v>3905215</v>
      </c>
      <c r="AR29" s="61">
        <v>99238</v>
      </c>
      <c r="AS29" s="61">
        <v>403559</v>
      </c>
      <c r="AT29" s="61">
        <f t="shared" si="47"/>
        <v>502797</v>
      </c>
      <c r="AU29" s="61">
        <v>676353</v>
      </c>
      <c r="AV29" s="61">
        <v>1786359</v>
      </c>
      <c r="AW29" s="61">
        <f t="shared" si="48"/>
        <v>2462712</v>
      </c>
      <c r="AX29" s="61">
        <v>74646</v>
      </c>
      <c r="AY29" s="61">
        <v>574983</v>
      </c>
      <c r="AZ29" s="61">
        <f t="shared" si="49"/>
        <v>649629</v>
      </c>
      <c r="BA29" s="61">
        <v>301457</v>
      </c>
      <c r="BB29" s="61">
        <v>100213</v>
      </c>
      <c r="BC29" s="61">
        <f t="shared" si="50"/>
        <v>401670</v>
      </c>
      <c r="BD29" s="61">
        <v>581</v>
      </c>
      <c r="BE29" s="61">
        <v>6108656</v>
      </c>
      <c r="BF29" s="61">
        <f t="shared" si="51"/>
        <v>6109237</v>
      </c>
      <c r="BG29" s="61"/>
      <c r="BH29" s="61"/>
      <c r="BI29" s="61">
        <f t="shared" si="52"/>
        <v>0</v>
      </c>
      <c r="BJ29" s="61"/>
      <c r="BK29" s="61">
        <v>1103328</v>
      </c>
      <c r="BL29" s="61">
        <f t="shared" si="53"/>
        <v>1103328</v>
      </c>
      <c r="BM29" s="61">
        <v>138872</v>
      </c>
      <c r="BN29" s="61">
        <v>413084</v>
      </c>
      <c r="BO29" s="61">
        <f t="shared" si="54"/>
        <v>551956</v>
      </c>
      <c r="BP29" s="61">
        <v>3105725</v>
      </c>
      <c r="BQ29" s="61">
        <v>16618077</v>
      </c>
      <c r="BR29" s="61"/>
      <c r="BS29" s="61">
        <v>1020877</v>
      </c>
      <c r="BT29" s="61">
        <v>4914126</v>
      </c>
      <c r="BU29" s="61">
        <f t="shared" si="55"/>
        <v>5935003</v>
      </c>
      <c r="BV29" s="61">
        <v>310297</v>
      </c>
      <c r="BW29" s="61">
        <v>1811281</v>
      </c>
      <c r="BX29" s="61">
        <f t="shared" si="56"/>
        <v>2121578</v>
      </c>
      <c r="BY29" s="61"/>
      <c r="BZ29" s="61"/>
      <c r="CA29" s="61">
        <f t="shared" si="66"/>
        <v>0</v>
      </c>
      <c r="CB29" s="61"/>
      <c r="CC29" s="61"/>
      <c r="CD29" s="61">
        <f t="shared" si="58"/>
        <v>0</v>
      </c>
      <c r="CE29" s="61">
        <v>2262226</v>
      </c>
      <c r="CF29" s="61">
        <v>9309616</v>
      </c>
      <c r="CG29" s="61">
        <f t="shared" si="59"/>
        <v>11571842</v>
      </c>
      <c r="CH29" s="61">
        <v>2534787</v>
      </c>
      <c r="CI29" s="61">
        <v>5976082</v>
      </c>
      <c r="CJ29" s="61">
        <f t="shared" si="60"/>
        <v>8510869</v>
      </c>
      <c r="CK29" s="61">
        <v>85006</v>
      </c>
      <c r="CL29" s="61">
        <v>1074693</v>
      </c>
      <c r="CM29" s="61">
        <f t="shared" si="61"/>
        <v>1159699</v>
      </c>
      <c r="CN29" s="61"/>
      <c r="CO29" s="61"/>
      <c r="CP29" s="61">
        <v>5174490</v>
      </c>
      <c r="CQ29" s="61">
        <v>413536</v>
      </c>
      <c r="CR29" s="61">
        <v>3895628</v>
      </c>
      <c r="CS29" s="61"/>
    </row>
    <row r="30" spans="1:97" ht="15" customHeight="1" x14ac:dyDescent="0.25">
      <c r="A30" s="62" t="s">
        <v>206</v>
      </c>
      <c r="B30" s="61"/>
      <c r="C30" s="61"/>
      <c r="D30" s="61">
        <f t="shared" si="34"/>
        <v>0</v>
      </c>
      <c r="E30" s="61"/>
      <c r="F30" s="61"/>
      <c r="G30" s="61">
        <f t="shared" si="35"/>
        <v>0</v>
      </c>
      <c r="H30" s="61"/>
      <c r="I30" s="61"/>
      <c r="J30" s="61">
        <f t="shared" si="65"/>
        <v>0</v>
      </c>
      <c r="K30" s="61"/>
      <c r="L30" s="61"/>
      <c r="M30" s="61">
        <f t="shared" si="36"/>
        <v>0</v>
      </c>
      <c r="N30" s="61"/>
      <c r="O30" s="61"/>
      <c r="P30" s="61">
        <f t="shared" si="37"/>
        <v>0</v>
      </c>
      <c r="Q30" s="61"/>
      <c r="R30" s="61"/>
      <c r="S30" s="61">
        <f t="shared" si="38"/>
        <v>0</v>
      </c>
      <c r="T30" s="61"/>
      <c r="U30" s="61"/>
      <c r="V30" s="61">
        <f t="shared" si="39"/>
        <v>0</v>
      </c>
      <c r="W30" s="61"/>
      <c r="X30" s="61"/>
      <c r="Y30" s="61">
        <f t="shared" si="40"/>
        <v>0</v>
      </c>
      <c r="Z30" s="61"/>
      <c r="AA30" s="61"/>
      <c r="AB30" s="61">
        <f t="shared" si="41"/>
        <v>0</v>
      </c>
      <c r="AC30" s="61"/>
      <c r="AD30" s="61"/>
      <c r="AE30" s="61">
        <f t="shared" si="42"/>
        <v>0</v>
      </c>
      <c r="AF30" s="61"/>
      <c r="AG30" s="61"/>
      <c r="AH30" s="61">
        <f t="shared" si="43"/>
        <v>0</v>
      </c>
      <c r="AI30" s="61"/>
      <c r="AJ30" s="61"/>
      <c r="AK30" s="61">
        <f t="shared" si="44"/>
        <v>0</v>
      </c>
      <c r="AL30" s="61"/>
      <c r="AM30" s="61"/>
      <c r="AN30" s="61">
        <f t="shared" si="45"/>
        <v>0</v>
      </c>
      <c r="AO30" s="61">
        <v>236297</v>
      </c>
      <c r="AP30" s="61">
        <v>965763</v>
      </c>
      <c r="AQ30" s="61">
        <f t="shared" si="46"/>
        <v>1202060</v>
      </c>
      <c r="AR30" s="61"/>
      <c r="AS30" s="61"/>
      <c r="AT30" s="61">
        <f t="shared" si="47"/>
        <v>0</v>
      </c>
      <c r="AU30" s="61"/>
      <c r="AV30" s="61"/>
      <c r="AW30" s="61">
        <f t="shared" si="48"/>
        <v>0</v>
      </c>
      <c r="AX30" s="61"/>
      <c r="AY30" s="61"/>
      <c r="AZ30" s="61">
        <f t="shared" si="49"/>
        <v>0</v>
      </c>
      <c r="BA30" s="61"/>
      <c r="BB30" s="61"/>
      <c r="BC30" s="61">
        <f t="shared" si="50"/>
        <v>0</v>
      </c>
      <c r="BD30" s="61"/>
      <c r="BE30" s="61"/>
      <c r="BF30" s="61">
        <f t="shared" si="51"/>
        <v>0</v>
      </c>
      <c r="BG30" s="61"/>
      <c r="BH30" s="61"/>
      <c r="BI30" s="61">
        <f t="shared" si="52"/>
        <v>0</v>
      </c>
      <c r="BJ30" s="61"/>
      <c r="BK30" s="61"/>
      <c r="BL30" s="61">
        <f t="shared" si="53"/>
        <v>0</v>
      </c>
      <c r="BM30" s="61"/>
      <c r="BN30" s="61"/>
      <c r="BO30" s="61">
        <f t="shared" si="54"/>
        <v>0</v>
      </c>
      <c r="BP30" s="61"/>
      <c r="BQ30" s="61"/>
      <c r="BR30" s="61">
        <f t="shared" si="62"/>
        <v>0</v>
      </c>
      <c r="BS30" s="61"/>
      <c r="BT30" s="61"/>
      <c r="BU30" s="61">
        <f t="shared" si="55"/>
        <v>0</v>
      </c>
      <c r="BV30" s="61"/>
      <c r="BW30" s="61"/>
      <c r="BX30" s="61">
        <f t="shared" si="56"/>
        <v>0</v>
      </c>
      <c r="BY30" s="61"/>
      <c r="BZ30" s="61"/>
      <c r="CA30" s="61">
        <f t="shared" si="66"/>
        <v>0</v>
      </c>
      <c r="CB30" s="61"/>
      <c r="CC30" s="61"/>
      <c r="CD30" s="61">
        <f t="shared" si="58"/>
        <v>0</v>
      </c>
      <c r="CE30" s="61"/>
      <c r="CF30" s="61"/>
      <c r="CG30" s="61">
        <f t="shared" si="59"/>
        <v>0</v>
      </c>
      <c r="CH30" s="61"/>
      <c r="CI30" s="61"/>
      <c r="CJ30" s="61">
        <f t="shared" si="60"/>
        <v>0</v>
      </c>
      <c r="CK30" s="61"/>
      <c r="CL30" s="61"/>
      <c r="CM30" s="61">
        <f t="shared" si="61"/>
        <v>0</v>
      </c>
      <c r="CN30" s="61"/>
      <c r="CO30" s="61"/>
      <c r="CP30" s="61">
        <f t="shared" si="63"/>
        <v>0</v>
      </c>
      <c r="CQ30" s="61"/>
      <c r="CR30" s="61"/>
      <c r="CS30" s="61">
        <f t="shared" si="64"/>
        <v>0</v>
      </c>
    </row>
    <row r="31" spans="1:97" ht="15" customHeight="1" x14ac:dyDescent="0.25">
      <c r="A31" s="62" t="s">
        <v>207</v>
      </c>
      <c r="B31" s="61">
        <v>107731</v>
      </c>
      <c r="C31" s="61">
        <v>304398</v>
      </c>
      <c r="D31" s="61">
        <f t="shared" si="34"/>
        <v>412129</v>
      </c>
      <c r="E31" s="61"/>
      <c r="F31" s="61"/>
      <c r="G31" s="61">
        <f t="shared" si="35"/>
        <v>0</v>
      </c>
      <c r="H31" s="61"/>
      <c r="I31" s="61"/>
      <c r="J31" s="61">
        <v>8696469</v>
      </c>
      <c r="K31" s="61">
        <v>326971</v>
      </c>
      <c r="L31" s="61">
        <f>492956+512416</f>
        <v>1005372</v>
      </c>
      <c r="M31" s="61">
        <f t="shared" si="36"/>
        <v>1332343</v>
      </c>
      <c r="N31" s="61"/>
      <c r="O31" s="61"/>
      <c r="P31" s="61">
        <f t="shared" si="37"/>
        <v>0</v>
      </c>
      <c r="Q31" s="61"/>
      <c r="R31" s="61"/>
      <c r="S31" s="61">
        <f t="shared" si="38"/>
        <v>0</v>
      </c>
      <c r="T31" s="61"/>
      <c r="U31" s="61">
        <v>10279057</v>
      </c>
      <c r="V31" s="61">
        <f t="shared" si="39"/>
        <v>10279057</v>
      </c>
      <c r="W31" s="61"/>
      <c r="X31" s="61">
        <v>851323.73</v>
      </c>
      <c r="Y31" s="61">
        <f t="shared" si="40"/>
        <v>851323.73</v>
      </c>
      <c r="Z31" s="61">
        <v>78000</v>
      </c>
      <c r="AA31" s="61">
        <f>59604+175500</f>
        <v>235104</v>
      </c>
      <c r="AB31" s="61">
        <f t="shared" si="41"/>
        <v>313104</v>
      </c>
      <c r="AC31" s="61">
        <v>441498</v>
      </c>
      <c r="AD31" s="61">
        <v>1758943</v>
      </c>
      <c r="AE31" s="61">
        <f t="shared" si="42"/>
        <v>2200441</v>
      </c>
      <c r="AF31" s="61"/>
      <c r="AG31" s="61"/>
      <c r="AH31" s="61">
        <f t="shared" si="43"/>
        <v>0</v>
      </c>
      <c r="AI31" s="61">
        <v>383385</v>
      </c>
      <c r="AJ31" s="61">
        <v>1635012</v>
      </c>
      <c r="AK31" s="61">
        <f t="shared" si="44"/>
        <v>2018397</v>
      </c>
      <c r="AL31" s="61">
        <v>1551380</v>
      </c>
      <c r="AM31" s="61">
        <v>4994200</v>
      </c>
      <c r="AN31" s="61">
        <f t="shared" si="45"/>
        <v>6545580</v>
      </c>
      <c r="AO31" s="61"/>
      <c r="AP31" s="61"/>
      <c r="AQ31" s="61">
        <f t="shared" si="46"/>
        <v>0</v>
      </c>
      <c r="AR31" s="61">
        <v>29606</v>
      </c>
      <c r="AS31" s="61">
        <v>120394</v>
      </c>
      <c r="AT31" s="61">
        <f t="shared" si="47"/>
        <v>150000</v>
      </c>
      <c r="AU31" s="61"/>
      <c r="AV31" s="61"/>
      <c r="AW31" s="61">
        <f t="shared" si="48"/>
        <v>0</v>
      </c>
      <c r="AX31" s="61">
        <v>29450</v>
      </c>
      <c r="AY31" s="61">
        <v>226850</v>
      </c>
      <c r="AZ31" s="61">
        <f t="shared" si="49"/>
        <v>256300</v>
      </c>
      <c r="BA31" s="61"/>
      <c r="BB31" s="61"/>
      <c r="BC31" s="61">
        <f t="shared" si="50"/>
        <v>0</v>
      </c>
      <c r="BD31" s="61">
        <v>779</v>
      </c>
      <c r="BE31" s="61">
        <v>8197721</v>
      </c>
      <c r="BF31" s="61">
        <f t="shared" si="51"/>
        <v>8198500</v>
      </c>
      <c r="BG31" s="61">
        <v>49818</v>
      </c>
      <c r="BH31" s="61">
        <v>149455</v>
      </c>
      <c r="BI31" s="61">
        <f t="shared" si="52"/>
        <v>199273</v>
      </c>
      <c r="BJ31" s="61">
        <v>259200</v>
      </c>
      <c r="BK31" s="61">
        <v>417900</v>
      </c>
      <c r="BL31" s="61">
        <f t="shared" si="53"/>
        <v>677100</v>
      </c>
      <c r="BM31" s="61"/>
      <c r="BN31" s="61"/>
      <c r="BO31" s="61">
        <f t="shared" si="54"/>
        <v>0</v>
      </c>
      <c r="BP31" s="61">
        <v>719186</v>
      </c>
      <c r="BQ31" s="61">
        <v>3848214</v>
      </c>
      <c r="BR31" s="61">
        <f t="shared" si="62"/>
        <v>4567400</v>
      </c>
      <c r="BS31" s="61">
        <v>40078</v>
      </c>
      <c r="BT31" s="61">
        <v>192922</v>
      </c>
      <c r="BU31" s="61">
        <f t="shared" si="55"/>
        <v>233000</v>
      </c>
      <c r="BV31" s="61"/>
      <c r="BW31" s="61"/>
      <c r="BX31" s="61">
        <f t="shared" si="56"/>
        <v>0</v>
      </c>
      <c r="BY31" s="61"/>
      <c r="BZ31" s="61"/>
      <c r="CA31" s="61">
        <f t="shared" si="66"/>
        <v>0</v>
      </c>
      <c r="CB31" s="61">
        <v>787424</v>
      </c>
      <c r="CC31" s="61">
        <v>1256576</v>
      </c>
      <c r="CD31" s="61">
        <f t="shared" si="58"/>
        <v>2044000</v>
      </c>
      <c r="CE31" s="61">
        <v>501954</v>
      </c>
      <c r="CF31" s="61">
        <v>2065666</v>
      </c>
      <c r="CG31" s="61">
        <f t="shared" si="59"/>
        <v>2567620</v>
      </c>
      <c r="CH31" s="61"/>
      <c r="CI31" s="61"/>
      <c r="CJ31" s="61">
        <f t="shared" si="60"/>
        <v>0</v>
      </c>
      <c r="CK31" s="61"/>
      <c r="CL31" s="61"/>
      <c r="CM31" s="61">
        <f t="shared" si="61"/>
        <v>0</v>
      </c>
      <c r="CN31" s="61"/>
      <c r="CO31" s="61"/>
      <c r="CP31" s="61">
        <f t="shared" si="63"/>
        <v>0</v>
      </c>
      <c r="CQ31" s="61">
        <v>103356</v>
      </c>
      <c r="CR31" s="61">
        <v>973644</v>
      </c>
      <c r="CS31" s="61">
        <f t="shared" si="64"/>
        <v>1077000</v>
      </c>
    </row>
    <row r="32" spans="1:97" ht="15" customHeight="1" x14ac:dyDescent="0.25">
      <c r="A32" s="62" t="s">
        <v>208</v>
      </c>
      <c r="B32" s="61"/>
      <c r="C32" s="61"/>
      <c r="D32" s="61">
        <f t="shared" si="34"/>
        <v>0</v>
      </c>
      <c r="E32" s="61"/>
      <c r="F32" s="61"/>
      <c r="G32" s="61">
        <f t="shared" si="35"/>
        <v>0</v>
      </c>
      <c r="H32" s="61"/>
      <c r="I32" s="61"/>
      <c r="J32" s="61">
        <f t="shared" si="65"/>
        <v>0</v>
      </c>
      <c r="K32" s="61"/>
      <c r="L32" s="61"/>
      <c r="M32" s="61">
        <f t="shared" si="36"/>
        <v>0</v>
      </c>
      <c r="N32" s="61"/>
      <c r="O32" s="61"/>
      <c r="P32" s="61">
        <f t="shared" si="37"/>
        <v>0</v>
      </c>
      <c r="Q32" s="61"/>
      <c r="R32" s="61"/>
      <c r="S32" s="61">
        <f t="shared" si="38"/>
        <v>0</v>
      </c>
      <c r="T32" s="61">
        <v>1243843</v>
      </c>
      <c r="U32" s="61"/>
      <c r="V32" s="61">
        <f t="shared" si="39"/>
        <v>1243843</v>
      </c>
      <c r="W32" s="61"/>
      <c r="X32" s="61"/>
      <c r="Y32" s="61">
        <f t="shared" si="40"/>
        <v>0</v>
      </c>
      <c r="Z32" s="61"/>
      <c r="AA32" s="61"/>
      <c r="AB32" s="61">
        <f t="shared" si="41"/>
        <v>0</v>
      </c>
      <c r="AC32" s="61"/>
      <c r="AD32" s="61"/>
      <c r="AE32" s="61">
        <f t="shared" si="42"/>
        <v>0</v>
      </c>
      <c r="AF32" s="61"/>
      <c r="AG32" s="61"/>
      <c r="AH32" s="61">
        <f t="shared" si="43"/>
        <v>0</v>
      </c>
      <c r="AI32" s="61"/>
      <c r="AJ32" s="61"/>
      <c r="AK32" s="61">
        <f t="shared" si="44"/>
        <v>0</v>
      </c>
      <c r="AL32" s="61"/>
      <c r="AM32" s="61"/>
      <c r="AN32" s="61">
        <f t="shared" si="45"/>
        <v>0</v>
      </c>
      <c r="AO32" s="61"/>
      <c r="AP32" s="61"/>
      <c r="AQ32" s="61">
        <f t="shared" si="46"/>
        <v>0</v>
      </c>
      <c r="AR32" s="61"/>
      <c r="AS32" s="61"/>
      <c r="AT32" s="61">
        <f t="shared" si="47"/>
        <v>0</v>
      </c>
      <c r="AU32" s="61"/>
      <c r="AV32" s="61"/>
      <c r="AW32" s="61">
        <f t="shared" si="48"/>
        <v>0</v>
      </c>
      <c r="AX32" s="61"/>
      <c r="AY32" s="61"/>
      <c r="AZ32" s="61">
        <f t="shared" si="49"/>
        <v>0</v>
      </c>
      <c r="BA32" s="61"/>
      <c r="BB32" s="61"/>
      <c r="BC32" s="61">
        <f t="shared" si="50"/>
        <v>0</v>
      </c>
      <c r="BD32" s="61"/>
      <c r="BE32" s="61"/>
      <c r="BF32" s="61">
        <f t="shared" si="51"/>
        <v>0</v>
      </c>
      <c r="BG32" s="61">
        <v>156500</v>
      </c>
      <c r="BH32" s="61">
        <v>437400</v>
      </c>
      <c r="BI32" s="61">
        <f>BH32+BG32</f>
        <v>593900</v>
      </c>
      <c r="BJ32" s="61"/>
      <c r="BK32" s="61"/>
      <c r="BL32" s="61">
        <f t="shared" si="53"/>
        <v>0</v>
      </c>
      <c r="BM32" s="61">
        <v>113893</v>
      </c>
      <c r="BN32" s="61">
        <v>289999</v>
      </c>
      <c r="BO32" s="61">
        <f t="shared" si="54"/>
        <v>403892</v>
      </c>
      <c r="BP32" s="61"/>
      <c r="BQ32" s="61"/>
      <c r="BR32" s="61">
        <f t="shared" si="62"/>
        <v>0</v>
      </c>
      <c r="BS32" s="61"/>
      <c r="BT32" s="61"/>
      <c r="BU32" s="61">
        <f t="shared" si="55"/>
        <v>0</v>
      </c>
      <c r="BV32" s="61"/>
      <c r="BW32" s="61"/>
      <c r="BX32" s="61">
        <f t="shared" si="56"/>
        <v>0</v>
      </c>
      <c r="BY32" s="61"/>
      <c r="BZ32" s="61"/>
      <c r="CA32" s="61">
        <f t="shared" si="66"/>
        <v>0</v>
      </c>
      <c r="CB32" s="61"/>
      <c r="CC32" s="61"/>
      <c r="CD32" s="61">
        <f t="shared" si="58"/>
        <v>0</v>
      </c>
      <c r="CE32" s="61"/>
      <c r="CF32" s="61"/>
      <c r="CG32" s="61">
        <f t="shared" si="59"/>
        <v>0</v>
      </c>
      <c r="CH32" s="61"/>
      <c r="CI32" s="61"/>
      <c r="CJ32" s="61">
        <f t="shared" si="60"/>
        <v>0</v>
      </c>
      <c r="CK32" s="61"/>
      <c r="CL32" s="61"/>
      <c r="CM32" s="61">
        <f t="shared" si="61"/>
        <v>0</v>
      </c>
      <c r="CN32" s="61"/>
      <c r="CO32" s="61"/>
      <c r="CP32" s="61">
        <f t="shared" si="63"/>
        <v>0</v>
      </c>
      <c r="CQ32" s="61"/>
      <c r="CR32" s="61"/>
      <c r="CS32" s="61">
        <f t="shared" si="64"/>
        <v>0</v>
      </c>
    </row>
    <row r="33" spans="1:97" ht="15" customHeight="1" x14ac:dyDescent="0.25">
      <c r="A33" s="62" t="s">
        <v>209</v>
      </c>
      <c r="B33" s="61"/>
      <c r="C33" s="61"/>
      <c r="D33" s="61">
        <f t="shared" si="34"/>
        <v>0</v>
      </c>
      <c r="E33" s="61"/>
      <c r="F33" s="61"/>
      <c r="G33" s="61">
        <f t="shared" si="35"/>
        <v>0</v>
      </c>
      <c r="H33" s="61"/>
      <c r="I33" s="61"/>
      <c r="J33" s="61">
        <f t="shared" si="65"/>
        <v>0</v>
      </c>
      <c r="K33" s="61"/>
      <c r="L33" s="61"/>
      <c r="M33" s="61">
        <f t="shared" si="36"/>
        <v>0</v>
      </c>
      <c r="N33" s="61"/>
      <c r="O33" s="61"/>
      <c r="P33" s="61">
        <f t="shared" si="37"/>
        <v>0</v>
      </c>
      <c r="Q33" s="61"/>
      <c r="R33" s="61"/>
      <c r="S33" s="61">
        <f t="shared" si="38"/>
        <v>0</v>
      </c>
      <c r="T33" s="61"/>
      <c r="U33" s="61"/>
      <c r="V33" s="61">
        <f t="shared" si="39"/>
        <v>0</v>
      </c>
      <c r="W33" s="61"/>
      <c r="X33" s="61"/>
      <c r="Y33" s="61">
        <f t="shared" si="40"/>
        <v>0</v>
      </c>
      <c r="Z33" s="61"/>
      <c r="AA33" s="61"/>
      <c r="AB33" s="61">
        <f t="shared" si="41"/>
        <v>0</v>
      </c>
      <c r="AC33" s="61"/>
      <c r="AD33" s="61"/>
      <c r="AE33" s="61">
        <f t="shared" si="42"/>
        <v>0</v>
      </c>
      <c r="AF33" s="61"/>
      <c r="AG33" s="61"/>
      <c r="AH33" s="61">
        <f t="shared" si="43"/>
        <v>0</v>
      </c>
      <c r="AI33" s="61"/>
      <c r="AJ33" s="61"/>
      <c r="AK33" s="61">
        <f t="shared" si="44"/>
        <v>0</v>
      </c>
      <c r="AL33" s="61"/>
      <c r="AM33" s="61"/>
      <c r="AN33" s="61">
        <f t="shared" si="45"/>
        <v>0</v>
      </c>
      <c r="AO33" s="61"/>
      <c r="AP33" s="61"/>
      <c r="AQ33" s="61">
        <f t="shared" si="46"/>
        <v>0</v>
      </c>
      <c r="AR33" s="61"/>
      <c r="AS33" s="61"/>
      <c r="AT33" s="61">
        <f t="shared" si="47"/>
        <v>0</v>
      </c>
      <c r="AU33" s="61"/>
      <c r="AV33" s="61"/>
      <c r="AW33" s="61">
        <f t="shared" si="48"/>
        <v>0</v>
      </c>
      <c r="AX33" s="61"/>
      <c r="AY33" s="61"/>
      <c r="AZ33" s="61">
        <f t="shared" si="49"/>
        <v>0</v>
      </c>
      <c r="BA33" s="61"/>
      <c r="BB33" s="61"/>
      <c r="BC33" s="61">
        <f t="shared" si="50"/>
        <v>0</v>
      </c>
      <c r="BD33" s="61"/>
      <c r="BE33" s="61"/>
      <c r="BF33" s="61">
        <f t="shared" si="51"/>
        <v>0</v>
      </c>
      <c r="BG33" s="61"/>
      <c r="BH33" s="61"/>
      <c r="BI33" s="61">
        <f t="shared" si="52"/>
        <v>0</v>
      </c>
      <c r="BJ33" s="61"/>
      <c r="BK33" s="61"/>
      <c r="BL33" s="61">
        <f t="shared" si="53"/>
        <v>0</v>
      </c>
      <c r="BM33" s="61"/>
      <c r="BN33" s="61"/>
      <c r="BO33" s="61">
        <f t="shared" si="54"/>
        <v>0</v>
      </c>
      <c r="BP33" s="61"/>
      <c r="BQ33" s="61"/>
      <c r="BR33" s="61">
        <f t="shared" si="62"/>
        <v>0</v>
      </c>
      <c r="BS33" s="61"/>
      <c r="BT33" s="61"/>
      <c r="BU33" s="61">
        <f t="shared" si="55"/>
        <v>0</v>
      </c>
      <c r="BV33" s="61"/>
      <c r="BW33" s="61"/>
      <c r="BX33" s="61">
        <f t="shared" si="56"/>
        <v>0</v>
      </c>
      <c r="BY33" s="61"/>
      <c r="BZ33" s="61"/>
      <c r="CA33" s="61">
        <f t="shared" si="66"/>
        <v>0</v>
      </c>
      <c r="CB33" s="61"/>
      <c r="CC33" s="61"/>
      <c r="CD33" s="61">
        <f t="shared" si="58"/>
        <v>0</v>
      </c>
      <c r="CE33" s="61"/>
      <c r="CF33" s="61"/>
      <c r="CG33" s="61">
        <f t="shared" si="59"/>
        <v>0</v>
      </c>
      <c r="CH33" s="61"/>
      <c r="CI33" s="61"/>
      <c r="CJ33" s="61">
        <f t="shared" si="60"/>
        <v>0</v>
      </c>
      <c r="CK33" s="61"/>
      <c r="CL33" s="61"/>
      <c r="CM33" s="61">
        <f t="shared" si="61"/>
        <v>0</v>
      </c>
      <c r="CN33" s="61"/>
      <c r="CO33" s="61"/>
      <c r="CP33" s="61">
        <f t="shared" si="63"/>
        <v>0</v>
      </c>
      <c r="CQ33" s="61"/>
      <c r="CR33" s="61"/>
      <c r="CS33" s="61">
        <f t="shared" si="64"/>
        <v>0</v>
      </c>
    </row>
    <row r="34" spans="1:97" ht="15" customHeight="1" x14ac:dyDescent="0.25">
      <c r="A34" s="62" t="s">
        <v>200</v>
      </c>
      <c r="B34" s="61"/>
      <c r="C34" s="61"/>
      <c r="D34" s="61">
        <f t="shared" si="34"/>
        <v>0</v>
      </c>
      <c r="E34" s="61">
        <v>50196</v>
      </c>
      <c r="F34" s="61">
        <f>200375+150741</f>
        <v>351116</v>
      </c>
      <c r="G34" s="61">
        <f t="shared" si="35"/>
        <v>401312</v>
      </c>
      <c r="H34" s="61"/>
      <c r="I34" s="61"/>
      <c r="J34" s="61">
        <v>2419943</v>
      </c>
      <c r="K34" s="61">
        <v>1678900</v>
      </c>
      <c r="L34" s="61">
        <v>5588733</v>
      </c>
      <c r="M34" s="61">
        <f t="shared" si="36"/>
        <v>7267633</v>
      </c>
      <c r="N34" s="61">
        <v>614532</v>
      </c>
      <c r="O34" s="61">
        <v>2839837</v>
      </c>
      <c r="P34" s="61">
        <f t="shared" si="37"/>
        <v>3454369</v>
      </c>
      <c r="Q34" s="61">
        <v>300373</v>
      </c>
      <c r="R34" s="61">
        <v>1548102</v>
      </c>
      <c r="S34" s="61">
        <f t="shared" si="38"/>
        <v>1848475</v>
      </c>
      <c r="T34" s="61">
        <v>203635</v>
      </c>
      <c r="U34" s="61">
        <v>1682831</v>
      </c>
      <c r="V34" s="61">
        <f t="shared" si="39"/>
        <v>1886466</v>
      </c>
      <c r="W34" s="61"/>
      <c r="X34" s="61">
        <v>505820.07</v>
      </c>
      <c r="Y34" s="61">
        <f t="shared" si="40"/>
        <v>505820.07</v>
      </c>
      <c r="Z34" s="61">
        <v>126222</v>
      </c>
      <c r="AA34" s="61">
        <v>259435</v>
      </c>
      <c r="AB34" s="61">
        <f t="shared" si="41"/>
        <v>385657</v>
      </c>
      <c r="AC34" s="61">
        <v>110817</v>
      </c>
      <c r="AD34" s="61">
        <v>441497</v>
      </c>
      <c r="AE34" s="61">
        <f t="shared" si="42"/>
        <v>552314</v>
      </c>
      <c r="AF34" s="61">
        <v>3946538</v>
      </c>
      <c r="AG34" s="61">
        <v>8762810</v>
      </c>
      <c r="AH34" s="61">
        <f t="shared" si="43"/>
        <v>12709348</v>
      </c>
      <c r="AI34" s="61">
        <v>995896</v>
      </c>
      <c r="AJ34" s="61">
        <v>4247175</v>
      </c>
      <c r="AK34" s="61">
        <f t="shared" si="44"/>
        <v>5243071</v>
      </c>
      <c r="AL34" s="61">
        <v>886596</v>
      </c>
      <c r="AM34" s="61">
        <v>2854128</v>
      </c>
      <c r="AN34" s="61">
        <f t="shared" si="45"/>
        <v>3740724</v>
      </c>
      <c r="AO34" s="61">
        <v>490346</v>
      </c>
      <c r="AP34" s="61">
        <v>2004080</v>
      </c>
      <c r="AQ34" s="61">
        <f t="shared" si="46"/>
        <v>2494426</v>
      </c>
      <c r="AR34" s="61">
        <v>55675</v>
      </c>
      <c r="AS34" s="61">
        <v>226410</v>
      </c>
      <c r="AT34" s="61">
        <f t="shared" si="47"/>
        <v>282085</v>
      </c>
      <c r="AU34" s="61">
        <v>438923</v>
      </c>
      <c r="AV34" s="61">
        <v>1159268</v>
      </c>
      <c r="AW34" s="61">
        <f t="shared" si="48"/>
        <v>1598191</v>
      </c>
      <c r="AX34" s="61"/>
      <c r="AY34" s="61"/>
      <c r="AZ34" s="61">
        <f t="shared" si="49"/>
        <v>0</v>
      </c>
      <c r="BA34" s="61">
        <v>150063</v>
      </c>
      <c r="BB34" s="61">
        <v>401188</v>
      </c>
      <c r="BC34" s="61">
        <f t="shared" si="50"/>
        <v>551251</v>
      </c>
      <c r="BD34" s="61">
        <v>242</v>
      </c>
      <c r="BE34" s="61">
        <v>2545670</v>
      </c>
      <c r="BF34" s="61">
        <f t="shared" si="51"/>
        <v>2545912</v>
      </c>
      <c r="BG34" s="61"/>
      <c r="BH34" s="61"/>
      <c r="BI34" s="61">
        <f t="shared" si="52"/>
        <v>0</v>
      </c>
      <c r="BJ34" s="61"/>
      <c r="BK34" s="61">
        <v>853527</v>
      </c>
      <c r="BL34" s="61">
        <f t="shared" si="53"/>
        <v>853527</v>
      </c>
      <c r="BM34" s="61">
        <v>151283</v>
      </c>
      <c r="BN34" s="61">
        <v>450001</v>
      </c>
      <c r="BO34" s="61">
        <f t="shared" si="54"/>
        <v>601284</v>
      </c>
      <c r="BP34" s="61">
        <v>295831</v>
      </c>
      <c r="BQ34" s="61">
        <v>1582930</v>
      </c>
      <c r="BR34" s="61"/>
      <c r="BS34" s="61">
        <v>189027</v>
      </c>
      <c r="BT34" s="61">
        <v>909908</v>
      </c>
      <c r="BU34" s="61">
        <f t="shared" si="55"/>
        <v>1098935</v>
      </c>
      <c r="BV34" s="61"/>
      <c r="BW34" s="61">
        <v>600133</v>
      </c>
      <c r="BX34" s="61">
        <f t="shared" si="56"/>
        <v>600133</v>
      </c>
      <c r="BY34" s="61"/>
      <c r="BZ34" s="61">
        <v>1060698</v>
      </c>
      <c r="CA34" s="61">
        <f t="shared" si="66"/>
        <v>1060698</v>
      </c>
      <c r="CB34" s="61">
        <v>345776</v>
      </c>
      <c r="CC34" s="61">
        <v>551791</v>
      </c>
      <c r="CD34" s="61">
        <f t="shared" si="58"/>
        <v>897567</v>
      </c>
      <c r="CE34" s="61">
        <v>58818</v>
      </c>
      <c r="CF34" s="61">
        <v>242048</v>
      </c>
      <c r="CG34" s="61">
        <f t="shared" si="59"/>
        <v>300866</v>
      </c>
      <c r="CH34" s="61">
        <v>3347885</v>
      </c>
      <c r="CI34" s="61">
        <v>7893063</v>
      </c>
      <c r="CJ34" s="61">
        <f t="shared" si="60"/>
        <v>11240948</v>
      </c>
      <c r="CK34" s="61">
        <v>271716</v>
      </c>
      <c r="CL34" s="61">
        <v>3435190</v>
      </c>
      <c r="CM34" s="61">
        <f t="shared" si="61"/>
        <v>3706906</v>
      </c>
      <c r="CN34" s="61"/>
      <c r="CO34" s="61"/>
      <c r="CP34" s="61">
        <v>7017724</v>
      </c>
      <c r="CQ34" s="61">
        <v>196424</v>
      </c>
      <c r="CR34" s="61">
        <v>1850375</v>
      </c>
      <c r="CS34" s="61"/>
    </row>
    <row r="35" spans="1:97" x14ac:dyDescent="0.25">
      <c r="A35" s="62" t="s">
        <v>201</v>
      </c>
      <c r="B35" s="61"/>
      <c r="C35" s="61"/>
      <c r="D35" s="61">
        <f t="shared" si="34"/>
        <v>0</v>
      </c>
      <c r="E35" s="61"/>
      <c r="F35" s="61">
        <v>200052</v>
      </c>
      <c r="G35" s="61">
        <f t="shared" si="35"/>
        <v>200052</v>
      </c>
      <c r="H35" s="61"/>
      <c r="I35" s="61"/>
      <c r="J35" s="61">
        <v>100000</v>
      </c>
      <c r="K35" s="61"/>
      <c r="L35" s="61"/>
      <c r="M35" s="61">
        <f t="shared" si="36"/>
        <v>0</v>
      </c>
      <c r="N35" s="61">
        <f>-48923+97845</f>
        <v>48922</v>
      </c>
      <c r="O35" s="61">
        <f>-226078+452155</f>
        <v>226077</v>
      </c>
      <c r="P35" s="61">
        <f t="shared" si="37"/>
        <v>274999</v>
      </c>
      <c r="Q35" s="61"/>
      <c r="R35" s="61"/>
      <c r="S35" s="61">
        <f t="shared" si="38"/>
        <v>0</v>
      </c>
      <c r="T35" s="61">
        <v>16507</v>
      </c>
      <c r="U35" s="61">
        <v>136412</v>
      </c>
      <c r="V35" s="61">
        <f t="shared" si="39"/>
        <v>152919</v>
      </c>
      <c r="W35" s="61"/>
      <c r="X35" s="61">
        <v>522774.94</v>
      </c>
      <c r="Y35" s="61">
        <f t="shared" si="40"/>
        <v>522774.94</v>
      </c>
      <c r="Z35" s="61">
        <v>37865</v>
      </c>
      <c r="AA35" s="61">
        <v>120779</v>
      </c>
      <c r="AB35" s="61">
        <f t="shared" si="41"/>
        <v>158644</v>
      </c>
      <c r="AC35" s="61">
        <f>-13036+83193</f>
        <v>70157</v>
      </c>
      <c r="AD35" s="61">
        <f>-51936+331444</f>
        <v>279508</v>
      </c>
      <c r="AE35" s="61">
        <f t="shared" si="42"/>
        <v>349665</v>
      </c>
      <c r="AF35" s="61"/>
      <c r="AG35" s="61"/>
      <c r="AH35" s="61">
        <f t="shared" si="43"/>
        <v>0</v>
      </c>
      <c r="AI35" s="61"/>
      <c r="AJ35" s="61"/>
      <c r="AK35" s="61">
        <f t="shared" si="44"/>
        <v>0</v>
      </c>
      <c r="AL35" s="61"/>
      <c r="AM35" s="61"/>
      <c r="AN35" s="61">
        <f t="shared" si="45"/>
        <v>0</v>
      </c>
      <c r="AO35" s="61">
        <f>49144-29781</f>
        <v>19363</v>
      </c>
      <c r="AP35" s="61">
        <f>200856-121719</f>
        <v>79137</v>
      </c>
      <c r="AQ35" s="61">
        <f t="shared" si="46"/>
        <v>98500</v>
      </c>
      <c r="AR35" s="61"/>
      <c r="AS35" s="61"/>
      <c r="AT35" s="61">
        <f t="shared" si="47"/>
        <v>0</v>
      </c>
      <c r="AU35" s="61"/>
      <c r="AV35" s="61"/>
      <c r="AW35" s="61">
        <f t="shared" si="48"/>
        <v>0</v>
      </c>
      <c r="AX35" s="61">
        <v>8668</v>
      </c>
      <c r="AY35" s="61">
        <v>66768</v>
      </c>
      <c r="AZ35" s="61">
        <f t="shared" si="49"/>
        <v>75436</v>
      </c>
      <c r="BA35" s="61">
        <v>34352</v>
      </c>
      <c r="BB35" s="61">
        <v>36488</v>
      </c>
      <c r="BC35" s="61">
        <f t="shared" si="50"/>
        <v>70840</v>
      </c>
      <c r="BD35" s="61"/>
      <c r="BE35" s="61"/>
      <c r="BF35" s="61">
        <f t="shared" si="51"/>
        <v>0</v>
      </c>
      <c r="BG35" s="61"/>
      <c r="BH35" s="61">
        <v>50898</v>
      </c>
      <c r="BI35" s="61">
        <f t="shared" si="52"/>
        <v>50898</v>
      </c>
      <c r="BJ35" s="61">
        <v>-22</v>
      </c>
      <c r="BK35" s="61"/>
      <c r="BL35" s="61">
        <f t="shared" si="53"/>
        <v>-22</v>
      </c>
      <c r="BM35" s="61"/>
      <c r="BN35" s="61"/>
      <c r="BO35" s="61">
        <f t="shared" si="54"/>
        <v>0</v>
      </c>
      <c r="BP35" s="61">
        <f>317140-62905</f>
        <v>254235</v>
      </c>
      <c r="BQ35" s="61">
        <f>1696960-336592</f>
        <v>1360368</v>
      </c>
      <c r="BR35" s="61">
        <f t="shared" si="62"/>
        <v>1614603</v>
      </c>
      <c r="BS35" s="61">
        <v>144722</v>
      </c>
      <c r="BT35" s="61">
        <v>696639</v>
      </c>
      <c r="BU35" s="61">
        <f t="shared" si="55"/>
        <v>841361</v>
      </c>
      <c r="BV35" s="61"/>
      <c r="BW35" s="61"/>
      <c r="BX35" s="61">
        <f t="shared" si="56"/>
        <v>0</v>
      </c>
      <c r="BY35" s="61"/>
      <c r="BZ35" s="61"/>
      <c r="CA35" s="61">
        <v>0</v>
      </c>
      <c r="CB35" s="61"/>
      <c r="CC35" s="61"/>
      <c r="CD35" s="61">
        <f t="shared" si="58"/>
        <v>0</v>
      </c>
      <c r="CE35" s="61">
        <v>861546</v>
      </c>
      <c r="CF35" s="61">
        <v>3545471</v>
      </c>
      <c r="CG35" s="61">
        <f t="shared" si="59"/>
        <v>4407017</v>
      </c>
      <c r="CH35" s="61">
        <v>6672</v>
      </c>
      <c r="CI35" s="61">
        <v>15729</v>
      </c>
      <c r="CJ35" s="61">
        <f t="shared" si="60"/>
        <v>22401</v>
      </c>
      <c r="CK35" s="61"/>
      <c r="CL35" s="61"/>
      <c r="CM35" s="61">
        <f t="shared" si="61"/>
        <v>0</v>
      </c>
      <c r="CN35" s="61"/>
      <c r="CO35" s="61"/>
      <c r="CP35" s="61">
        <v>658306</v>
      </c>
      <c r="CQ35" s="61">
        <f>2736+1535</f>
        <v>4271</v>
      </c>
      <c r="CR35" s="61">
        <f>25770+14462</f>
        <v>40232</v>
      </c>
      <c r="CS35" s="61"/>
    </row>
    <row r="36" spans="1:97" s="64" customFormat="1" x14ac:dyDescent="0.25">
      <c r="A36" s="60" t="s">
        <v>204</v>
      </c>
      <c r="B36" s="63">
        <f>SUM(B22:B35)</f>
        <v>295294</v>
      </c>
      <c r="C36" s="63">
        <f t="shared" ref="C36:BN36" si="67">SUM(C22:C35)</f>
        <v>834361</v>
      </c>
      <c r="D36" s="63">
        <f t="shared" si="67"/>
        <v>1129655</v>
      </c>
      <c r="E36" s="63">
        <f t="shared" si="67"/>
        <v>50196</v>
      </c>
      <c r="F36" s="63">
        <f t="shared" si="67"/>
        <v>1469249</v>
      </c>
      <c r="G36" s="63">
        <f t="shared" si="67"/>
        <v>1519445</v>
      </c>
      <c r="H36" s="63">
        <f t="shared" si="67"/>
        <v>0</v>
      </c>
      <c r="I36" s="63">
        <f t="shared" si="67"/>
        <v>0</v>
      </c>
      <c r="J36" s="63">
        <f t="shared" si="67"/>
        <v>28144250</v>
      </c>
      <c r="K36" s="63">
        <f t="shared" si="67"/>
        <v>5977241</v>
      </c>
      <c r="L36" s="63">
        <f t="shared" si="67"/>
        <v>12645572</v>
      </c>
      <c r="M36" s="63">
        <f t="shared" si="67"/>
        <v>18622813</v>
      </c>
      <c r="N36" s="63">
        <f t="shared" si="67"/>
        <v>1751779</v>
      </c>
      <c r="O36" s="63">
        <f t="shared" si="67"/>
        <v>8095211</v>
      </c>
      <c r="P36" s="63">
        <f t="shared" si="67"/>
        <v>9846990</v>
      </c>
      <c r="Q36" s="63">
        <f t="shared" si="67"/>
        <v>750823</v>
      </c>
      <c r="R36" s="63">
        <f t="shared" si="67"/>
        <v>3733106</v>
      </c>
      <c r="S36" s="63">
        <f t="shared" si="67"/>
        <v>4483929</v>
      </c>
      <c r="T36" s="63">
        <f t="shared" si="67"/>
        <v>1971057</v>
      </c>
      <c r="U36" s="63">
        <f t="shared" si="67"/>
        <v>16288718</v>
      </c>
      <c r="V36" s="63">
        <f t="shared" si="67"/>
        <v>18259775</v>
      </c>
      <c r="W36" s="63">
        <f t="shared" si="67"/>
        <v>3004520.52</v>
      </c>
      <c r="X36" s="63">
        <f t="shared" si="67"/>
        <v>8276667.1300000018</v>
      </c>
      <c r="Y36" s="63">
        <f t="shared" si="67"/>
        <v>11281187.65</v>
      </c>
      <c r="Z36" s="63">
        <f t="shared" si="67"/>
        <v>437982</v>
      </c>
      <c r="AA36" s="63">
        <f t="shared" si="67"/>
        <v>1028902</v>
      </c>
      <c r="AB36" s="63">
        <f t="shared" si="67"/>
        <v>1466884</v>
      </c>
      <c r="AC36" s="63">
        <f t="shared" si="67"/>
        <v>702191</v>
      </c>
      <c r="AD36" s="63">
        <f t="shared" si="67"/>
        <v>2797547</v>
      </c>
      <c r="AE36" s="63">
        <f t="shared" si="67"/>
        <v>3499738</v>
      </c>
      <c r="AF36" s="63">
        <f t="shared" si="67"/>
        <v>4704548</v>
      </c>
      <c r="AG36" s="63">
        <f t="shared" si="67"/>
        <v>14146318</v>
      </c>
      <c r="AH36" s="63">
        <f t="shared" si="67"/>
        <v>18850866</v>
      </c>
      <c r="AI36" s="63">
        <f t="shared" si="67"/>
        <v>4927746</v>
      </c>
      <c r="AJ36" s="63">
        <f t="shared" si="67"/>
        <v>21015230</v>
      </c>
      <c r="AK36" s="63">
        <f t="shared" si="67"/>
        <v>25942976</v>
      </c>
      <c r="AL36" s="63">
        <f t="shared" si="67"/>
        <v>9901893</v>
      </c>
      <c r="AM36" s="63">
        <f t="shared" si="67"/>
        <v>31406261</v>
      </c>
      <c r="AN36" s="63">
        <f t="shared" si="67"/>
        <v>41308154</v>
      </c>
      <c r="AO36" s="63">
        <f t="shared" si="67"/>
        <v>4901202</v>
      </c>
      <c r="AP36" s="63">
        <f t="shared" si="67"/>
        <v>20031556</v>
      </c>
      <c r="AQ36" s="63">
        <f t="shared" si="67"/>
        <v>24932758</v>
      </c>
      <c r="AR36" s="63">
        <f t="shared" si="67"/>
        <v>197998</v>
      </c>
      <c r="AS36" s="63">
        <f t="shared" si="67"/>
        <v>805180</v>
      </c>
      <c r="AT36" s="63">
        <f t="shared" si="67"/>
        <v>1003178</v>
      </c>
      <c r="AU36" s="63">
        <f t="shared" si="67"/>
        <v>1539754</v>
      </c>
      <c r="AV36" s="63">
        <f t="shared" si="67"/>
        <v>4066742</v>
      </c>
      <c r="AW36" s="63">
        <f t="shared" si="67"/>
        <v>5606496</v>
      </c>
      <c r="AX36" s="63">
        <f t="shared" si="67"/>
        <v>347719</v>
      </c>
      <c r="AY36" s="63">
        <f t="shared" si="67"/>
        <v>2678417</v>
      </c>
      <c r="AZ36" s="63">
        <f t="shared" si="67"/>
        <v>3026136</v>
      </c>
      <c r="BA36" s="63">
        <f t="shared" si="67"/>
        <v>755842</v>
      </c>
      <c r="BB36" s="63">
        <f t="shared" si="67"/>
        <v>1401584</v>
      </c>
      <c r="BC36" s="63">
        <f t="shared" si="67"/>
        <v>2157426</v>
      </c>
      <c r="BD36" s="63">
        <f t="shared" si="67"/>
        <v>3092</v>
      </c>
      <c r="BE36" s="63">
        <f t="shared" si="67"/>
        <v>32527705</v>
      </c>
      <c r="BF36" s="63">
        <f t="shared" si="67"/>
        <v>32530797</v>
      </c>
      <c r="BG36" s="63">
        <f t="shared" si="67"/>
        <v>603732</v>
      </c>
      <c r="BH36" s="63">
        <f t="shared" si="67"/>
        <v>1355632</v>
      </c>
      <c r="BI36" s="63">
        <f t="shared" si="67"/>
        <v>1959364</v>
      </c>
      <c r="BJ36" s="63">
        <f t="shared" si="67"/>
        <v>997607</v>
      </c>
      <c r="BK36" s="63">
        <f t="shared" si="67"/>
        <v>2610595</v>
      </c>
      <c r="BL36" s="63">
        <f t="shared" si="67"/>
        <v>3608202</v>
      </c>
      <c r="BM36" s="63">
        <f t="shared" si="67"/>
        <v>467955</v>
      </c>
      <c r="BN36" s="63">
        <f t="shared" si="67"/>
        <v>1343180</v>
      </c>
      <c r="BO36" s="63">
        <f t="shared" ref="BO36:CS36" si="68">SUM(BO22:BO35)</f>
        <v>1811135</v>
      </c>
      <c r="BP36" s="63">
        <f t="shared" si="68"/>
        <v>4909062</v>
      </c>
      <c r="BQ36" s="63">
        <f t="shared" si="68"/>
        <v>26267366</v>
      </c>
      <c r="BR36" s="63">
        <f t="shared" si="68"/>
        <v>9093358</v>
      </c>
      <c r="BS36" s="63">
        <f t="shared" si="68"/>
        <v>2381154</v>
      </c>
      <c r="BT36" s="63">
        <f t="shared" si="68"/>
        <v>11462004</v>
      </c>
      <c r="BU36" s="63">
        <f t="shared" si="68"/>
        <v>13843158</v>
      </c>
      <c r="BV36" s="63">
        <f t="shared" si="68"/>
        <v>310297</v>
      </c>
      <c r="BW36" s="63">
        <f t="shared" si="68"/>
        <v>4247415</v>
      </c>
      <c r="BX36" s="63">
        <f t="shared" si="68"/>
        <v>4557712</v>
      </c>
      <c r="BY36" s="63">
        <f t="shared" si="68"/>
        <v>865</v>
      </c>
      <c r="BZ36" s="63">
        <f t="shared" si="68"/>
        <v>2450874</v>
      </c>
      <c r="CA36" s="63">
        <f t="shared" si="68"/>
        <v>2451739</v>
      </c>
      <c r="CB36" s="63">
        <f t="shared" si="68"/>
        <v>1556245</v>
      </c>
      <c r="CC36" s="63">
        <f t="shared" si="68"/>
        <v>2483464</v>
      </c>
      <c r="CD36" s="63">
        <f t="shared" si="68"/>
        <v>4039709</v>
      </c>
      <c r="CE36" s="63">
        <f t="shared" si="68"/>
        <v>3992678</v>
      </c>
      <c r="CF36" s="63">
        <f t="shared" si="68"/>
        <v>16430845</v>
      </c>
      <c r="CG36" s="63">
        <f t="shared" si="68"/>
        <v>20423523</v>
      </c>
      <c r="CH36" s="63">
        <f t="shared" si="68"/>
        <v>14959235</v>
      </c>
      <c r="CI36" s="63">
        <f t="shared" si="68"/>
        <v>35268288</v>
      </c>
      <c r="CJ36" s="63">
        <f t="shared" si="68"/>
        <v>50227523</v>
      </c>
      <c r="CK36" s="63">
        <f t="shared" si="68"/>
        <v>1719096</v>
      </c>
      <c r="CL36" s="63">
        <f t="shared" si="68"/>
        <v>21733786</v>
      </c>
      <c r="CM36" s="63">
        <f t="shared" si="68"/>
        <v>23452882</v>
      </c>
      <c r="CN36" s="63">
        <f t="shared" si="68"/>
        <v>0</v>
      </c>
      <c r="CO36" s="63">
        <f t="shared" si="68"/>
        <v>0</v>
      </c>
      <c r="CP36" s="63">
        <f t="shared" si="68"/>
        <v>33691481</v>
      </c>
      <c r="CQ36" s="63">
        <f t="shared" si="68"/>
        <v>909177</v>
      </c>
      <c r="CR36" s="63">
        <f t="shared" si="68"/>
        <v>8564710</v>
      </c>
      <c r="CS36" s="63">
        <f t="shared" si="68"/>
        <v>1391845</v>
      </c>
    </row>
    <row r="37" spans="1:97" s="64" customFormat="1" x14ac:dyDescent="0.25">
      <c r="A37" s="60" t="s">
        <v>48</v>
      </c>
      <c r="B37" s="63">
        <f>B36+B20</f>
        <v>1602831</v>
      </c>
      <c r="C37" s="63">
        <f t="shared" ref="C37:BN37" si="69">C36+C20</f>
        <v>4528813</v>
      </c>
      <c r="D37" s="63">
        <f t="shared" si="69"/>
        <v>6131644</v>
      </c>
      <c r="E37" s="63">
        <f t="shared" si="69"/>
        <v>2868723</v>
      </c>
      <c r="F37" s="63">
        <f t="shared" si="69"/>
        <v>9614071</v>
      </c>
      <c r="G37" s="63">
        <f t="shared" si="69"/>
        <v>12482794</v>
      </c>
      <c r="H37" s="63">
        <f t="shared" si="69"/>
        <v>0</v>
      </c>
      <c r="I37" s="63">
        <f t="shared" si="69"/>
        <v>0</v>
      </c>
      <c r="J37" s="63">
        <f t="shared" si="69"/>
        <v>144933188</v>
      </c>
      <c r="K37" s="63">
        <f t="shared" si="69"/>
        <v>47087842</v>
      </c>
      <c r="L37" s="63">
        <f t="shared" si="69"/>
        <v>183228754</v>
      </c>
      <c r="M37" s="63">
        <f t="shared" si="69"/>
        <v>230316596</v>
      </c>
      <c r="N37" s="63">
        <f t="shared" si="69"/>
        <v>9284256</v>
      </c>
      <c r="O37" s="63">
        <f t="shared" si="69"/>
        <v>42903806</v>
      </c>
      <c r="P37" s="63">
        <f t="shared" si="69"/>
        <v>52188062</v>
      </c>
      <c r="Q37" s="63">
        <f t="shared" si="69"/>
        <v>8998715</v>
      </c>
      <c r="R37" s="63">
        <f t="shared" si="69"/>
        <v>18205655</v>
      </c>
      <c r="S37" s="63">
        <f t="shared" si="69"/>
        <v>27204370</v>
      </c>
      <c r="T37" s="63">
        <f t="shared" si="69"/>
        <v>12076512</v>
      </c>
      <c r="U37" s="63">
        <f t="shared" si="69"/>
        <v>99799679</v>
      </c>
      <c r="V37" s="63">
        <f t="shared" si="69"/>
        <v>111876191</v>
      </c>
      <c r="W37" s="63">
        <f t="shared" si="69"/>
        <v>56364495.020000003</v>
      </c>
      <c r="X37" s="63">
        <f t="shared" si="69"/>
        <v>73494413.719999999</v>
      </c>
      <c r="Y37" s="63">
        <f t="shared" si="69"/>
        <v>129858908.74000001</v>
      </c>
      <c r="Z37" s="63">
        <f t="shared" si="69"/>
        <v>860534</v>
      </c>
      <c r="AA37" s="63">
        <f t="shared" si="69"/>
        <v>2629805</v>
      </c>
      <c r="AB37" s="63">
        <f t="shared" si="69"/>
        <v>3490339</v>
      </c>
      <c r="AC37" s="63">
        <f t="shared" si="69"/>
        <v>10821555</v>
      </c>
      <c r="AD37" s="63">
        <f t="shared" si="69"/>
        <v>43113399</v>
      </c>
      <c r="AE37" s="63">
        <f t="shared" si="69"/>
        <v>53934954</v>
      </c>
      <c r="AF37" s="63">
        <f t="shared" si="69"/>
        <v>13330566</v>
      </c>
      <c r="AG37" s="63">
        <f t="shared" si="69"/>
        <v>47154199</v>
      </c>
      <c r="AH37" s="63">
        <f t="shared" si="69"/>
        <v>60484765</v>
      </c>
      <c r="AI37" s="63">
        <f t="shared" si="69"/>
        <v>32598007</v>
      </c>
      <c r="AJ37" s="63">
        <f t="shared" si="69"/>
        <v>139019845</v>
      </c>
      <c r="AK37" s="63">
        <f t="shared" si="69"/>
        <v>171617852</v>
      </c>
      <c r="AL37" s="63">
        <f t="shared" si="69"/>
        <v>76305839</v>
      </c>
      <c r="AM37" s="63">
        <f t="shared" si="69"/>
        <v>244441354</v>
      </c>
      <c r="AN37" s="63">
        <f t="shared" si="69"/>
        <v>320747193</v>
      </c>
      <c r="AO37" s="63">
        <f t="shared" si="69"/>
        <v>24492752</v>
      </c>
      <c r="AP37" s="63">
        <f t="shared" si="69"/>
        <v>100103610</v>
      </c>
      <c r="AQ37" s="63">
        <f t="shared" si="69"/>
        <v>124596362</v>
      </c>
      <c r="AR37" s="63">
        <f t="shared" si="69"/>
        <v>1874573</v>
      </c>
      <c r="AS37" s="63">
        <f t="shared" si="69"/>
        <v>7623138</v>
      </c>
      <c r="AT37" s="63">
        <f t="shared" si="69"/>
        <v>9497711</v>
      </c>
      <c r="AU37" s="63">
        <f t="shared" si="69"/>
        <v>8418467</v>
      </c>
      <c r="AV37" s="63">
        <f t="shared" si="69"/>
        <v>22234535</v>
      </c>
      <c r="AW37" s="63">
        <f t="shared" si="69"/>
        <v>30653002</v>
      </c>
      <c r="AX37" s="63">
        <f t="shared" si="69"/>
        <v>3615187</v>
      </c>
      <c r="AY37" s="63">
        <f t="shared" si="69"/>
        <v>27847115</v>
      </c>
      <c r="AZ37" s="63">
        <f t="shared" si="69"/>
        <v>31462302</v>
      </c>
      <c r="BA37" s="63">
        <f t="shared" si="69"/>
        <v>2135601</v>
      </c>
      <c r="BB37" s="63">
        <f t="shared" si="69"/>
        <v>5833829</v>
      </c>
      <c r="BC37" s="63">
        <f t="shared" si="69"/>
        <v>7969430</v>
      </c>
      <c r="BD37" s="63">
        <f t="shared" si="69"/>
        <v>28425</v>
      </c>
      <c r="BE37" s="63">
        <f t="shared" si="69"/>
        <v>299109165</v>
      </c>
      <c r="BF37" s="63">
        <f t="shared" si="69"/>
        <v>299137590</v>
      </c>
      <c r="BG37" s="63">
        <f t="shared" si="69"/>
        <v>2256053</v>
      </c>
      <c r="BH37" s="63">
        <f t="shared" si="69"/>
        <v>3650364</v>
      </c>
      <c r="BI37" s="63">
        <f t="shared" si="69"/>
        <v>5906417</v>
      </c>
      <c r="BJ37" s="63">
        <f t="shared" si="69"/>
        <v>5659054</v>
      </c>
      <c r="BK37" s="63">
        <f t="shared" si="69"/>
        <v>11364799</v>
      </c>
      <c r="BL37" s="63">
        <f t="shared" si="69"/>
        <v>17023853</v>
      </c>
      <c r="BM37" s="63">
        <f t="shared" si="69"/>
        <v>1784400</v>
      </c>
      <c r="BN37" s="63">
        <f t="shared" si="69"/>
        <v>5230066</v>
      </c>
      <c r="BO37" s="63">
        <f t="shared" ref="BO37:CS37" si="70">BO36+BO20</f>
        <v>7014466</v>
      </c>
      <c r="BP37" s="63">
        <f t="shared" si="70"/>
        <v>21201439</v>
      </c>
      <c r="BQ37" s="63">
        <f t="shared" si="70"/>
        <v>113444437</v>
      </c>
      <c r="BR37" s="63">
        <f t="shared" si="70"/>
        <v>10345606</v>
      </c>
      <c r="BS37" s="63">
        <f t="shared" si="70"/>
        <v>11621814</v>
      </c>
      <c r="BT37" s="63">
        <f t="shared" si="70"/>
        <v>55943161</v>
      </c>
      <c r="BU37" s="63">
        <f t="shared" si="70"/>
        <v>67564975</v>
      </c>
      <c r="BV37" s="63">
        <f t="shared" si="70"/>
        <v>23374606</v>
      </c>
      <c r="BW37" s="63">
        <f t="shared" si="70"/>
        <v>63708783</v>
      </c>
      <c r="BX37" s="63">
        <f t="shared" si="70"/>
        <v>87083389</v>
      </c>
      <c r="BY37" s="63">
        <f t="shared" si="70"/>
        <v>17871073</v>
      </c>
      <c r="BZ37" s="63">
        <f t="shared" si="70"/>
        <v>88712400</v>
      </c>
      <c r="CA37" s="63">
        <f t="shared" si="70"/>
        <v>106583473</v>
      </c>
      <c r="CB37" s="63">
        <f t="shared" si="70"/>
        <v>31976357</v>
      </c>
      <c r="CC37" s="63">
        <f t="shared" si="70"/>
        <v>51028098</v>
      </c>
      <c r="CD37" s="63">
        <f t="shared" si="70"/>
        <v>83004455</v>
      </c>
      <c r="CE37" s="63">
        <f t="shared" si="70"/>
        <v>34144462</v>
      </c>
      <c r="CF37" s="63">
        <f t="shared" si="70"/>
        <v>140512814</v>
      </c>
      <c r="CG37" s="63">
        <f t="shared" si="70"/>
        <v>174657276</v>
      </c>
      <c r="CH37" s="63">
        <f t="shared" si="70"/>
        <v>221195953</v>
      </c>
      <c r="CI37" s="63">
        <f t="shared" si="70"/>
        <v>499637455</v>
      </c>
      <c r="CJ37" s="63">
        <f t="shared" si="70"/>
        <v>720833408</v>
      </c>
      <c r="CK37" s="63">
        <f t="shared" si="70"/>
        <v>18791443</v>
      </c>
      <c r="CL37" s="63">
        <f t="shared" si="70"/>
        <v>237572042</v>
      </c>
      <c r="CM37" s="63">
        <f t="shared" si="70"/>
        <v>256363485</v>
      </c>
      <c r="CN37" s="63">
        <f t="shared" si="70"/>
        <v>0</v>
      </c>
      <c r="CO37" s="63">
        <f t="shared" si="70"/>
        <v>0</v>
      </c>
      <c r="CP37" s="63">
        <f t="shared" si="70"/>
        <v>363773682</v>
      </c>
      <c r="CQ37" s="63">
        <f t="shared" si="70"/>
        <v>3265457</v>
      </c>
      <c r="CR37" s="63">
        <f t="shared" si="70"/>
        <v>30761562</v>
      </c>
      <c r="CS37" s="63">
        <f t="shared" si="70"/>
        <v>1577470</v>
      </c>
    </row>
  </sheetData>
  <mergeCells count="33">
    <mergeCell ref="A3:A4"/>
    <mergeCell ref="BV3:BX3"/>
    <mergeCell ref="BY3:CA3"/>
    <mergeCell ref="CB3:CD3"/>
    <mergeCell ref="CE3:CG3"/>
    <mergeCell ref="BD3:BF3"/>
    <mergeCell ref="BG3:BI3"/>
    <mergeCell ref="BJ3:BL3"/>
    <mergeCell ref="BM3:BO3"/>
    <mergeCell ref="BP3:BR3"/>
    <mergeCell ref="Z3:AB3"/>
    <mergeCell ref="BA3:BC3"/>
    <mergeCell ref="AF3:AH3"/>
    <mergeCell ref="Q3:S3"/>
    <mergeCell ref="B3:D3"/>
    <mergeCell ref="E3:G3"/>
    <mergeCell ref="CN3:CP3"/>
    <mergeCell ref="CQ3:CS3"/>
    <mergeCell ref="CH3:CJ3"/>
    <mergeCell ref="CK3:CM3"/>
    <mergeCell ref="AC3:AE3"/>
    <mergeCell ref="BS3:BU3"/>
    <mergeCell ref="AX3:AZ3"/>
    <mergeCell ref="AO3:AQ3"/>
    <mergeCell ref="AR3:AT3"/>
    <mergeCell ref="AU3:AW3"/>
    <mergeCell ref="H3:J3"/>
    <mergeCell ref="K3:M3"/>
    <mergeCell ref="N3:P3"/>
    <mergeCell ref="AI3:AK3"/>
    <mergeCell ref="AL3:AN3"/>
    <mergeCell ref="T3:V3"/>
    <mergeCell ref="W3:Y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NL1</vt:lpstr>
      <vt:lpstr>NL2</vt:lpstr>
      <vt:lpstr>NL3</vt:lpstr>
      <vt:lpstr>NL4</vt:lpstr>
      <vt:lpstr>NL5</vt:lpstr>
      <vt:lpstr>NL6</vt:lpstr>
      <vt:lpstr>NL7</vt:lpstr>
      <vt:lpstr>NL10</vt:lpstr>
      <vt:lpstr>NL12</vt:lpstr>
      <vt:lpstr>NL13</vt:lpstr>
      <vt:lpstr>NL14</vt:lpstr>
      <vt:lpstr>NL15</vt:lpstr>
      <vt:lpstr>NL17</vt:lpstr>
      <vt:lpstr>NL23</vt:lpstr>
      <vt:lpstr>NL25</vt:lpstr>
      <vt:lpstr>NL30</vt:lpstr>
      <vt:lpstr>NL33</vt:lpstr>
      <vt:lpstr>NL40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2022-01-06T11:33:15Z</dcterms:modified>
</cp:coreProperties>
</file>